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omments1.xml" ContentType="application/vnd.openxmlformats-officedocument.spreadsheetml.comments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ables/table17.xml" ContentType="application/vnd.openxmlformats-officedocument.spreadsheetml.table+xml"/>
  <Override PartName="/xl/comments4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1"/>
  <workbookPr/>
  <mc:AlternateContent xmlns:mc="http://schemas.openxmlformats.org/markup-compatibility/2006">
    <mc:Choice Requires="x15">
      <x15ac:absPath xmlns:x15ac="http://schemas.microsoft.com/office/spreadsheetml/2010/11/ac" url="D:\working\waccache\CP1PEPF000036C4\EXCELCNV\3396a168-3ce6-4a6e-ada4-ccefacacb8d9\"/>
    </mc:Choice>
  </mc:AlternateContent>
  <xr:revisionPtr revIDLastSave="0" documentId="8_{FE59AA3F-6404-4308-A1C4-DBE8D1A580F7}" xr6:coauthVersionLast="47" xr6:coauthVersionMax="47" xr10:uidLastSave="{00000000-0000-0000-0000-000000000000}"/>
  <bookViews>
    <workbookView xWindow="-60" yWindow="-60" windowWidth="15480" windowHeight="11640" firstSheet="1" activeTab="1" xr2:uid="{00000000-000D-0000-FFFF-FFFF00000000}"/>
  </bookViews>
  <sheets>
    <sheet name="PEVBB" sheetId="1" state="hidden" r:id="rId1"/>
    <sheet name="BE" sheetId="2" r:id="rId2"/>
    <sheet name="DATA2" sheetId="3" state="hidden" r:id="rId3"/>
    <sheet name="Hoja 6" sheetId="4" state="hidden" r:id="rId4"/>
    <sheet name="PARAMETROS" sheetId="5" state="hidden" r:id="rId5"/>
    <sheet name="DATA3" sheetId="6" state="hidden" r:id="rId6"/>
    <sheet name="Data final" sheetId="7" state="hidden" r:id="rId7"/>
    <sheet name="Tabla dinámica 1" sheetId="8" state="hidden" r:id="rId8"/>
    <sheet name="Grupo 1 Trat2" sheetId="9" state="hidden" r:id="rId9"/>
  </sheets>
  <definedNames>
    <definedName name="_xlnm._FilterDatabase" localSheetId="1" hidden="1">BE!$A$1:$J$1</definedName>
    <definedName name="FERIADOS">PARAMETROS!$A$2:$A$3000</definedName>
    <definedName name="Z_181F5CB1_F6C1_4A0F_A1AC_1EAA41D45ADF_.wvu.FilterData" localSheetId="2" hidden="1">DATA2!$A$1:$W$700</definedName>
    <definedName name="Z_181F5CB1_F6C1_4A0F_A1AC_1EAA41D45ADF_.wvu.FilterData" localSheetId="5" hidden="1">DATA3!$A$1:$X$245</definedName>
    <definedName name="Z_181F5CB1_F6C1_4A0F_A1AC_1EAA41D45ADF_.wvu.FilterData" localSheetId="4" hidden="1">PARAMETROS!$A$1:$Y$2052</definedName>
    <definedName name="Z_482B0927_4AB4_4934_998C_213C37FD6FF0_.wvu.FilterData" localSheetId="2" hidden="1">DATA2!$A$1:$X$201</definedName>
    <definedName name="Z_4EA2D23C_8BCD_4797_9DAA_CA2764049125_.wvu.FilterData" localSheetId="2" hidden="1">DATA2!$A$1:$X$207</definedName>
    <definedName name="Z_7636E361_B741_4E25_896B_A148E2CE0914_.wvu.FilterData" localSheetId="2" hidden="1">DATA2!$A$1:$X$700</definedName>
    <definedName name="Z_7A8B6077_8358_46C7_B6EB_0CCDA99BB991_.wvu.FilterData" localSheetId="2" hidden="1">DATA2!$A$1:$T$191</definedName>
    <definedName name="Z_7A8B6077_8358_46C7_B6EB_0CCDA99BB991_.wvu.FilterData" localSheetId="5" hidden="1">DATA3!$A$1:$X$214</definedName>
    <definedName name="Z_7A8B6077_8358_46C7_B6EB_0CCDA99BB991_.wvu.FilterData" localSheetId="8" hidden="1">'Grupo 1 Trat2'!$A$2:$V$42</definedName>
    <definedName name="Z_7A8B6077_8358_46C7_B6EB_0CCDA99BB991_.wvu.FilterData" localSheetId="4" hidden="1">PARAMETROS!$A$1:$Y$2052</definedName>
    <definedName name="Z_B15EFF6A_9BEB_49B0_B8BA_DD9BF59B2FBE_.wvu.FilterData" localSheetId="2" hidden="1">DATA2!$A$1:$W$700</definedName>
    <definedName name="Z_B15EFF6A_9BEB_49B0_B8BA_DD9BF59B2FBE_.wvu.FilterData" localSheetId="5" hidden="1">DATA3!$A$1:$X$247</definedName>
    <definedName name="Z_BA044186_394D_414C_8579_ECC6CC0A941A_.wvu.FilterData" localSheetId="2" hidden="1">DATA2!$A$1:$W$700</definedName>
    <definedName name="Z_F3A071FB_3421_4AE2_82B9_ACF27FD2C4AD_.wvu.FilterData" localSheetId="2" hidden="1">DATA2!$A$1:$W$700</definedName>
  </definedNames>
  <calcPr calcId="191028"/>
  <customWorkbookViews>
    <customWorkbookView name="Filtro 3" guid="{B15EFF6A-9BEB-49B0-B8BA-DD9BF59B2FBE}" maximized="1" windowWidth="0" windowHeight="0" activeSheetId="0"/>
    <customWorkbookView name="Filtro 2" guid="{181F5CB1-F6C1-4A0F-A1AC-1EAA41D45ADF}" maximized="1" windowWidth="0" windowHeight="0" activeSheetId="0"/>
    <customWorkbookView name="Filtro 1" guid="{7A8B6077-8358-46C7-B6EB-0CCDA99BB991}" maximized="1" windowWidth="0" windowHeight="0" activeSheetId="0"/>
    <customWorkbookView name="Filtro 7" guid="{482B0927-4AB4-4934-998C-213C37FD6FF0}" maximized="1" windowWidth="0" windowHeight="0" activeSheetId="0"/>
    <customWorkbookView name="Filtro 6" guid="{7636E361-B741-4E25-896B-A148E2CE0914}" maximized="1" windowWidth="0" windowHeight="0" activeSheetId="0"/>
    <customWorkbookView name="Filtro 5" guid="{BA044186-394D-414C-8579-ECC6CC0A941A}" maximized="1" windowWidth="0" windowHeight="0" activeSheetId="0"/>
    <customWorkbookView name="Filtro 4" guid="{F3A071FB-3421-4AE2-82B9-ACF27FD2C4AD}" maximized="1" windowWidth="0" windowHeight="0" activeSheetId="0"/>
    <customWorkbookView name="Filtro 8" guid="{4EA2D23C-8BCD-4797-9DAA-CA2764049125}" maximized="1" windowWidth="0" windowHeight="0" activeSheetId="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000" i="9" l="1"/>
  <c r="T1000" i="9"/>
  <c r="V999" i="9"/>
  <c r="T999" i="9"/>
  <c r="V998" i="9"/>
  <c r="T998" i="9"/>
  <c r="V997" i="9"/>
  <c r="T997" i="9"/>
  <c r="V996" i="9"/>
  <c r="T996" i="9"/>
  <c r="V995" i="9"/>
  <c r="T995" i="9"/>
  <c r="V994" i="9"/>
  <c r="T994" i="9"/>
  <c r="V993" i="9"/>
  <c r="T993" i="9"/>
  <c r="V992" i="9"/>
  <c r="T992" i="9"/>
  <c r="V991" i="9"/>
  <c r="T991" i="9"/>
  <c r="V990" i="9"/>
  <c r="T990" i="9"/>
  <c r="V989" i="9"/>
  <c r="T989" i="9"/>
  <c r="V988" i="9"/>
  <c r="T988" i="9"/>
  <c r="V987" i="9"/>
  <c r="T987" i="9"/>
  <c r="V986" i="9"/>
  <c r="T986" i="9"/>
  <c r="V985" i="9"/>
  <c r="T985" i="9"/>
  <c r="V984" i="9"/>
  <c r="T984" i="9"/>
  <c r="V983" i="9"/>
  <c r="T983" i="9"/>
  <c r="V982" i="9"/>
  <c r="T982" i="9"/>
  <c r="V981" i="9"/>
  <c r="T981" i="9"/>
  <c r="V980" i="9"/>
  <c r="T980" i="9"/>
  <c r="V979" i="9"/>
  <c r="T979" i="9"/>
  <c r="V978" i="9"/>
  <c r="T978" i="9"/>
  <c r="V977" i="9"/>
  <c r="T977" i="9"/>
  <c r="V976" i="9"/>
  <c r="T976" i="9"/>
  <c r="V975" i="9"/>
  <c r="T975" i="9"/>
  <c r="V974" i="9"/>
  <c r="T974" i="9"/>
  <c r="V973" i="9"/>
  <c r="T973" i="9"/>
  <c r="V972" i="9"/>
  <c r="T972" i="9"/>
  <c r="V971" i="9"/>
  <c r="T971" i="9"/>
  <c r="V970" i="9"/>
  <c r="T970" i="9"/>
  <c r="V969" i="9"/>
  <c r="T969" i="9"/>
  <c r="V968" i="9"/>
  <c r="T968" i="9"/>
  <c r="V967" i="9"/>
  <c r="T967" i="9"/>
  <c r="V966" i="9"/>
  <c r="T966" i="9"/>
  <c r="V965" i="9"/>
  <c r="T965" i="9"/>
  <c r="V964" i="9"/>
  <c r="T964" i="9"/>
  <c r="V963" i="9"/>
  <c r="T963" i="9"/>
  <c r="V962" i="9"/>
  <c r="T962" i="9"/>
  <c r="V961" i="9"/>
  <c r="T961" i="9"/>
  <c r="V960" i="9"/>
  <c r="T960" i="9"/>
  <c r="V959" i="9"/>
  <c r="T959" i="9"/>
  <c r="V958" i="9"/>
  <c r="T958" i="9"/>
  <c r="V957" i="9"/>
  <c r="T957" i="9"/>
  <c r="V956" i="9"/>
  <c r="T956" i="9"/>
  <c r="V955" i="9"/>
  <c r="T955" i="9"/>
  <c r="V954" i="9"/>
  <c r="T954" i="9"/>
  <c r="V953" i="9"/>
  <c r="T953" i="9"/>
  <c r="V952" i="9"/>
  <c r="T952" i="9"/>
  <c r="V951" i="9"/>
  <c r="T951" i="9"/>
  <c r="V950" i="9"/>
  <c r="T950" i="9"/>
  <c r="V949" i="9"/>
  <c r="T949" i="9"/>
  <c r="V948" i="9"/>
  <c r="T948" i="9"/>
  <c r="V947" i="9"/>
  <c r="T947" i="9"/>
  <c r="V946" i="9"/>
  <c r="T946" i="9"/>
  <c r="V945" i="9"/>
  <c r="T945" i="9"/>
  <c r="V944" i="9"/>
  <c r="T944" i="9"/>
  <c r="V943" i="9"/>
  <c r="T943" i="9"/>
  <c r="V942" i="9"/>
  <c r="T942" i="9"/>
  <c r="V941" i="9"/>
  <c r="T941" i="9"/>
  <c r="V940" i="9"/>
  <c r="T940" i="9"/>
  <c r="V939" i="9"/>
  <c r="T939" i="9"/>
  <c r="V938" i="9"/>
  <c r="T938" i="9"/>
  <c r="V937" i="9"/>
  <c r="T937" i="9"/>
  <c r="V936" i="9"/>
  <c r="T936" i="9"/>
  <c r="V935" i="9"/>
  <c r="T935" i="9"/>
  <c r="V934" i="9"/>
  <c r="T934" i="9"/>
  <c r="V933" i="9"/>
  <c r="T933" i="9"/>
  <c r="V932" i="9"/>
  <c r="T932" i="9"/>
  <c r="V931" i="9"/>
  <c r="T931" i="9"/>
  <c r="V930" i="9"/>
  <c r="T930" i="9"/>
  <c r="V929" i="9"/>
  <c r="T929" i="9"/>
  <c r="V928" i="9"/>
  <c r="T928" i="9"/>
  <c r="V927" i="9"/>
  <c r="T927" i="9"/>
  <c r="V926" i="9"/>
  <c r="T926" i="9"/>
  <c r="V925" i="9"/>
  <c r="T925" i="9"/>
  <c r="V924" i="9"/>
  <c r="T924" i="9"/>
  <c r="V923" i="9"/>
  <c r="T923" i="9"/>
  <c r="V922" i="9"/>
  <c r="T922" i="9"/>
  <c r="V921" i="9"/>
  <c r="T921" i="9"/>
  <c r="V920" i="9"/>
  <c r="T920" i="9"/>
  <c r="V919" i="9"/>
  <c r="T919" i="9"/>
  <c r="V918" i="9"/>
  <c r="T918" i="9"/>
  <c r="V917" i="9"/>
  <c r="T917" i="9"/>
  <c r="V916" i="9"/>
  <c r="T916" i="9"/>
  <c r="V915" i="9"/>
  <c r="T915" i="9"/>
  <c r="V914" i="9"/>
  <c r="T914" i="9"/>
  <c r="V913" i="9"/>
  <c r="T913" i="9"/>
  <c r="V912" i="9"/>
  <c r="T912" i="9"/>
  <c r="V911" i="9"/>
  <c r="T911" i="9"/>
  <c r="V910" i="9"/>
  <c r="T910" i="9"/>
  <c r="V909" i="9"/>
  <c r="T909" i="9"/>
  <c r="V908" i="9"/>
  <c r="T908" i="9"/>
  <c r="V907" i="9"/>
  <c r="T907" i="9"/>
  <c r="V906" i="9"/>
  <c r="T906" i="9"/>
  <c r="V905" i="9"/>
  <c r="T905" i="9"/>
  <c r="V904" i="9"/>
  <c r="T904" i="9"/>
  <c r="V903" i="9"/>
  <c r="T903" i="9"/>
  <c r="V902" i="9"/>
  <c r="T902" i="9"/>
  <c r="V901" i="9"/>
  <c r="T901" i="9"/>
  <c r="V900" i="9"/>
  <c r="T900" i="9"/>
  <c r="V899" i="9"/>
  <c r="T899" i="9"/>
  <c r="V898" i="9"/>
  <c r="T898" i="9"/>
  <c r="V897" i="9"/>
  <c r="T897" i="9"/>
  <c r="V896" i="9"/>
  <c r="T896" i="9"/>
  <c r="V895" i="9"/>
  <c r="T895" i="9"/>
  <c r="V894" i="9"/>
  <c r="T894" i="9"/>
  <c r="V893" i="9"/>
  <c r="T893" i="9"/>
  <c r="V892" i="9"/>
  <c r="T892" i="9"/>
  <c r="V891" i="9"/>
  <c r="T891" i="9"/>
  <c r="V890" i="9"/>
  <c r="T890" i="9"/>
  <c r="V889" i="9"/>
  <c r="T889" i="9"/>
  <c r="V888" i="9"/>
  <c r="T888" i="9"/>
  <c r="V887" i="9"/>
  <c r="T887" i="9"/>
  <c r="V886" i="9"/>
  <c r="T886" i="9"/>
  <c r="V885" i="9"/>
  <c r="T885" i="9"/>
  <c r="V884" i="9"/>
  <c r="T884" i="9"/>
  <c r="V883" i="9"/>
  <c r="T883" i="9"/>
  <c r="V882" i="9"/>
  <c r="T882" i="9"/>
  <c r="V881" i="9"/>
  <c r="T881" i="9"/>
  <c r="V880" i="9"/>
  <c r="T880" i="9"/>
  <c r="V879" i="9"/>
  <c r="T879" i="9"/>
  <c r="V878" i="9"/>
  <c r="T878" i="9"/>
  <c r="V877" i="9"/>
  <c r="T877" i="9"/>
  <c r="V876" i="9"/>
  <c r="T876" i="9"/>
  <c r="V875" i="9"/>
  <c r="T875" i="9"/>
  <c r="V874" i="9"/>
  <c r="T874" i="9"/>
  <c r="V873" i="9"/>
  <c r="T873" i="9"/>
  <c r="V872" i="9"/>
  <c r="T872" i="9"/>
  <c r="V871" i="9"/>
  <c r="T871" i="9"/>
  <c r="V870" i="9"/>
  <c r="T870" i="9"/>
  <c r="V869" i="9"/>
  <c r="T869" i="9"/>
  <c r="V868" i="9"/>
  <c r="T868" i="9"/>
  <c r="V867" i="9"/>
  <c r="T867" i="9"/>
  <c r="V866" i="9"/>
  <c r="T866" i="9"/>
  <c r="V865" i="9"/>
  <c r="T865" i="9"/>
  <c r="V864" i="9"/>
  <c r="T864" i="9"/>
  <c r="V863" i="9"/>
  <c r="T863" i="9"/>
  <c r="V862" i="9"/>
  <c r="T862" i="9"/>
  <c r="V861" i="9"/>
  <c r="T861" i="9"/>
  <c r="V860" i="9"/>
  <c r="T860" i="9"/>
  <c r="V859" i="9"/>
  <c r="T859" i="9"/>
  <c r="V858" i="9"/>
  <c r="T858" i="9"/>
  <c r="V857" i="9"/>
  <c r="T857" i="9"/>
  <c r="V856" i="9"/>
  <c r="T856" i="9"/>
  <c r="V855" i="9"/>
  <c r="T855" i="9"/>
  <c r="V854" i="9"/>
  <c r="T854" i="9"/>
  <c r="V853" i="9"/>
  <c r="T853" i="9"/>
  <c r="V852" i="9"/>
  <c r="T852" i="9"/>
  <c r="V851" i="9"/>
  <c r="T851" i="9"/>
  <c r="V850" i="9"/>
  <c r="T850" i="9"/>
  <c r="V849" i="9"/>
  <c r="T849" i="9"/>
  <c r="V848" i="9"/>
  <c r="T848" i="9"/>
  <c r="V847" i="9"/>
  <c r="T847" i="9"/>
  <c r="V846" i="9"/>
  <c r="T846" i="9"/>
  <c r="V845" i="9"/>
  <c r="T845" i="9"/>
  <c r="V844" i="9"/>
  <c r="T844" i="9"/>
  <c r="V843" i="9"/>
  <c r="T843" i="9"/>
  <c r="V842" i="9"/>
  <c r="T842" i="9"/>
  <c r="V841" i="9"/>
  <c r="T841" i="9"/>
  <c r="V840" i="9"/>
  <c r="T840" i="9"/>
  <c r="V839" i="9"/>
  <c r="T839" i="9"/>
  <c r="V838" i="9"/>
  <c r="T838" i="9"/>
  <c r="V837" i="9"/>
  <c r="T837" i="9"/>
  <c r="V836" i="9"/>
  <c r="T836" i="9"/>
  <c r="V835" i="9"/>
  <c r="T835" i="9"/>
  <c r="V834" i="9"/>
  <c r="T834" i="9"/>
  <c r="V833" i="9"/>
  <c r="T833" i="9"/>
  <c r="V832" i="9"/>
  <c r="T832" i="9"/>
  <c r="V831" i="9"/>
  <c r="T831" i="9"/>
  <c r="V830" i="9"/>
  <c r="T830" i="9"/>
  <c r="V829" i="9"/>
  <c r="T829" i="9"/>
  <c r="V828" i="9"/>
  <c r="T828" i="9"/>
  <c r="V827" i="9"/>
  <c r="T827" i="9"/>
  <c r="V826" i="9"/>
  <c r="T826" i="9"/>
  <c r="V825" i="9"/>
  <c r="T825" i="9"/>
  <c r="V824" i="9"/>
  <c r="T824" i="9"/>
  <c r="V823" i="9"/>
  <c r="T823" i="9"/>
  <c r="V822" i="9"/>
  <c r="T822" i="9"/>
  <c r="V821" i="9"/>
  <c r="T821" i="9"/>
  <c r="V820" i="9"/>
  <c r="T820" i="9"/>
  <c r="V819" i="9"/>
  <c r="T819" i="9"/>
  <c r="V818" i="9"/>
  <c r="T818" i="9"/>
  <c r="V817" i="9"/>
  <c r="T817" i="9"/>
  <c r="V816" i="9"/>
  <c r="T816" i="9"/>
  <c r="V815" i="9"/>
  <c r="T815" i="9"/>
  <c r="V814" i="9"/>
  <c r="T814" i="9"/>
  <c r="V813" i="9"/>
  <c r="T813" i="9"/>
  <c r="V812" i="9"/>
  <c r="T812" i="9"/>
  <c r="V811" i="9"/>
  <c r="T811" i="9"/>
  <c r="V810" i="9"/>
  <c r="T810" i="9"/>
  <c r="V809" i="9"/>
  <c r="T809" i="9"/>
  <c r="V808" i="9"/>
  <c r="T808" i="9"/>
  <c r="V807" i="9"/>
  <c r="T807" i="9"/>
  <c r="V806" i="9"/>
  <c r="T806" i="9"/>
  <c r="V805" i="9"/>
  <c r="T805" i="9"/>
  <c r="V804" i="9"/>
  <c r="T804" i="9"/>
  <c r="V803" i="9"/>
  <c r="T803" i="9"/>
  <c r="V802" i="9"/>
  <c r="T802" i="9"/>
  <c r="V801" i="9"/>
  <c r="T801" i="9"/>
  <c r="V800" i="9"/>
  <c r="T800" i="9"/>
  <c r="V799" i="9"/>
  <c r="T799" i="9"/>
  <c r="V798" i="9"/>
  <c r="T798" i="9"/>
  <c r="V797" i="9"/>
  <c r="T797" i="9"/>
  <c r="V796" i="9"/>
  <c r="T796" i="9"/>
  <c r="V795" i="9"/>
  <c r="T795" i="9"/>
  <c r="V794" i="9"/>
  <c r="T794" i="9"/>
  <c r="V793" i="9"/>
  <c r="T793" i="9"/>
  <c r="V792" i="9"/>
  <c r="T792" i="9"/>
  <c r="V791" i="9"/>
  <c r="T791" i="9"/>
  <c r="V790" i="9"/>
  <c r="T790" i="9"/>
  <c r="V789" i="9"/>
  <c r="T789" i="9"/>
  <c r="V788" i="9"/>
  <c r="T788" i="9"/>
  <c r="V787" i="9"/>
  <c r="T787" i="9"/>
  <c r="V786" i="9"/>
  <c r="T786" i="9"/>
  <c r="V785" i="9"/>
  <c r="T785" i="9"/>
  <c r="V784" i="9"/>
  <c r="T784" i="9"/>
  <c r="V783" i="9"/>
  <c r="T783" i="9"/>
  <c r="V782" i="9"/>
  <c r="T782" i="9"/>
  <c r="V781" i="9"/>
  <c r="T781" i="9"/>
  <c r="V780" i="9"/>
  <c r="T780" i="9"/>
  <c r="V779" i="9"/>
  <c r="T779" i="9"/>
  <c r="V778" i="9"/>
  <c r="T778" i="9"/>
  <c r="V777" i="9"/>
  <c r="T777" i="9"/>
  <c r="V776" i="9"/>
  <c r="T776" i="9"/>
  <c r="V775" i="9"/>
  <c r="T775" i="9"/>
  <c r="V774" i="9"/>
  <c r="T774" i="9"/>
  <c r="V773" i="9"/>
  <c r="T773" i="9"/>
  <c r="V772" i="9"/>
  <c r="T772" i="9"/>
  <c r="V771" i="9"/>
  <c r="T771" i="9"/>
  <c r="V770" i="9"/>
  <c r="T770" i="9"/>
  <c r="V769" i="9"/>
  <c r="T769" i="9"/>
  <c r="V768" i="9"/>
  <c r="T768" i="9"/>
  <c r="V767" i="9"/>
  <c r="T767" i="9"/>
  <c r="V766" i="9"/>
  <c r="T766" i="9"/>
  <c r="V765" i="9"/>
  <c r="T765" i="9"/>
  <c r="V764" i="9"/>
  <c r="T764" i="9"/>
  <c r="V763" i="9"/>
  <c r="T763" i="9"/>
  <c r="V762" i="9"/>
  <c r="T762" i="9"/>
  <c r="V761" i="9"/>
  <c r="T761" i="9"/>
  <c r="V760" i="9"/>
  <c r="T760" i="9"/>
  <c r="V759" i="9"/>
  <c r="T759" i="9"/>
  <c r="V758" i="9"/>
  <c r="T758" i="9"/>
  <c r="V757" i="9"/>
  <c r="T757" i="9"/>
  <c r="V756" i="9"/>
  <c r="T756" i="9"/>
  <c r="V755" i="9"/>
  <c r="T755" i="9"/>
  <c r="V754" i="9"/>
  <c r="T754" i="9"/>
  <c r="V753" i="9"/>
  <c r="T753" i="9"/>
  <c r="V752" i="9"/>
  <c r="T752" i="9"/>
  <c r="V751" i="9"/>
  <c r="T751" i="9"/>
  <c r="V750" i="9"/>
  <c r="T750" i="9"/>
  <c r="V749" i="9"/>
  <c r="T749" i="9"/>
  <c r="V748" i="9"/>
  <c r="T748" i="9"/>
  <c r="V747" i="9"/>
  <c r="T747" i="9"/>
  <c r="V746" i="9"/>
  <c r="T746" i="9"/>
  <c r="V745" i="9"/>
  <c r="T745" i="9"/>
  <c r="V744" i="9"/>
  <c r="T744" i="9"/>
  <c r="V743" i="9"/>
  <c r="T743" i="9"/>
  <c r="V742" i="9"/>
  <c r="T742" i="9"/>
  <c r="V741" i="9"/>
  <c r="T741" i="9"/>
  <c r="V740" i="9"/>
  <c r="T740" i="9"/>
  <c r="V739" i="9"/>
  <c r="T739" i="9"/>
  <c r="V738" i="9"/>
  <c r="T738" i="9"/>
  <c r="V737" i="9"/>
  <c r="T737" i="9"/>
  <c r="V736" i="9"/>
  <c r="T736" i="9"/>
  <c r="V735" i="9"/>
  <c r="T735" i="9"/>
  <c r="V734" i="9"/>
  <c r="T734" i="9"/>
  <c r="V733" i="9"/>
  <c r="T733" i="9"/>
  <c r="V732" i="9"/>
  <c r="T732" i="9"/>
  <c r="V731" i="9"/>
  <c r="T731" i="9"/>
  <c r="V730" i="9"/>
  <c r="T730" i="9"/>
  <c r="V729" i="9"/>
  <c r="T729" i="9"/>
  <c r="V728" i="9"/>
  <c r="T728" i="9"/>
  <c r="V727" i="9"/>
  <c r="T727" i="9"/>
  <c r="V726" i="9"/>
  <c r="T726" i="9"/>
  <c r="V725" i="9"/>
  <c r="T725" i="9"/>
  <c r="V724" i="9"/>
  <c r="T724" i="9"/>
  <c r="V723" i="9"/>
  <c r="T723" i="9"/>
  <c r="V722" i="9"/>
  <c r="T722" i="9"/>
  <c r="V721" i="9"/>
  <c r="T721" i="9"/>
  <c r="V720" i="9"/>
  <c r="T720" i="9"/>
  <c r="V719" i="9"/>
  <c r="T719" i="9"/>
  <c r="V718" i="9"/>
  <c r="T718" i="9"/>
  <c r="V717" i="9"/>
  <c r="T717" i="9"/>
  <c r="V716" i="9"/>
  <c r="T716" i="9"/>
  <c r="V715" i="9"/>
  <c r="T715" i="9"/>
  <c r="V714" i="9"/>
  <c r="T714" i="9"/>
  <c r="V713" i="9"/>
  <c r="T713" i="9"/>
  <c r="V712" i="9"/>
  <c r="T712" i="9"/>
  <c r="V711" i="9"/>
  <c r="T711" i="9"/>
  <c r="V710" i="9"/>
  <c r="T710" i="9"/>
  <c r="V709" i="9"/>
  <c r="T709" i="9"/>
  <c r="V708" i="9"/>
  <c r="T708" i="9"/>
  <c r="V707" i="9"/>
  <c r="T707" i="9"/>
  <c r="V706" i="9"/>
  <c r="T706" i="9"/>
  <c r="V705" i="9"/>
  <c r="T705" i="9"/>
  <c r="V704" i="9"/>
  <c r="T704" i="9"/>
  <c r="V703" i="9"/>
  <c r="T703" i="9"/>
  <c r="V702" i="9"/>
  <c r="T702" i="9"/>
  <c r="V701" i="9"/>
  <c r="T701" i="9"/>
  <c r="V700" i="9"/>
  <c r="T700" i="9"/>
  <c r="V699" i="9"/>
  <c r="T699" i="9"/>
  <c r="V698" i="9"/>
  <c r="T698" i="9"/>
  <c r="V697" i="9"/>
  <c r="T697" i="9"/>
  <c r="V696" i="9"/>
  <c r="T696" i="9"/>
  <c r="V695" i="9"/>
  <c r="T695" i="9"/>
  <c r="V694" i="9"/>
  <c r="T694" i="9"/>
  <c r="V693" i="9"/>
  <c r="T693" i="9"/>
  <c r="V692" i="9"/>
  <c r="T692" i="9"/>
  <c r="V691" i="9"/>
  <c r="T691" i="9"/>
  <c r="V690" i="9"/>
  <c r="T690" i="9"/>
  <c r="V689" i="9"/>
  <c r="T689" i="9"/>
  <c r="V688" i="9"/>
  <c r="T688" i="9"/>
  <c r="V687" i="9"/>
  <c r="T687" i="9"/>
  <c r="V686" i="9"/>
  <c r="T686" i="9"/>
  <c r="V685" i="9"/>
  <c r="T685" i="9"/>
  <c r="V684" i="9"/>
  <c r="T684" i="9"/>
  <c r="V683" i="9"/>
  <c r="T683" i="9"/>
  <c r="V682" i="9"/>
  <c r="T682" i="9"/>
  <c r="V681" i="9"/>
  <c r="T681" i="9"/>
  <c r="V680" i="9"/>
  <c r="T680" i="9"/>
  <c r="V679" i="9"/>
  <c r="T679" i="9"/>
  <c r="V678" i="9"/>
  <c r="T678" i="9"/>
  <c r="V677" i="9"/>
  <c r="T677" i="9"/>
  <c r="V676" i="9"/>
  <c r="T676" i="9"/>
  <c r="V675" i="9"/>
  <c r="T675" i="9"/>
  <c r="V674" i="9"/>
  <c r="T674" i="9"/>
  <c r="V673" i="9"/>
  <c r="T673" i="9"/>
  <c r="V672" i="9"/>
  <c r="T672" i="9"/>
  <c r="V671" i="9"/>
  <c r="T671" i="9"/>
  <c r="V670" i="9"/>
  <c r="T670" i="9"/>
  <c r="V669" i="9"/>
  <c r="T669" i="9"/>
  <c r="V668" i="9"/>
  <c r="T668" i="9"/>
  <c r="V667" i="9"/>
  <c r="T667" i="9"/>
  <c r="V666" i="9"/>
  <c r="T666" i="9"/>
  <c r="V665" i="9"/>
  <c r="T665" i="9"/>
  <c r="V664" i="9"/>
  <c r="T664" i="9"/>
  <c r="V663" i="9"/>
  <c r="T663" i="9"/>
  <c r="V662" i="9"/>
  <c r="T662" i="9"/>
  <c r="V661" i="9"/>
  <c r="T661" i="9"/>
  <c r="V660" i="9"/>
  <c r="T660" i="9"/>
  <c r="V659" i="9"/>
  <c r="T659" i="9"/>
  <c r="V658" i="9"/>
  <c r="T658" i="9"/>
  <c r="V657" i="9"/>
  <c r="T657" i="9"/>
  <c r="V656" i="9"/>
  <c r="T656" i="9"/>
  <c r="V655" i="9"/>
  <c r="T655" i="9"/>
  <c r="V654" i="9"/>
  <c r="T654" i="9"/>
  <c r="V653" i="9"/>
  <c r="T653" i="9"/>
  <c r="V652" i="9"/>
  <c r="T652" i="9"/>
  <c r="V651" i="9"/>
  <c r="T651" i="9"/>
  <c r="V650" i="9"/>
  <c r="T650" i="9"/>
  <c r="V649" i="9"/>
  <c r="T649" i="9"/>
  <c r="V648" i="9"/>
  <c r="T648" i="9"/>
  <c r="V647" i="9"/>
  <c r="T647" i="9"/>
  <c r="V646" i="9"/>
  <c r="T646" i="9"/>
  <c r="V645" i="9"/>
  <c r="T645" i="9"/>
  <c r="V644" i="9"/>
  <c r="T644" i="9"/>
  <c r="V643" i="9"/>
  <c r="T643" i="9"/>
  <c r="V642" i="9"/>
  <c r="T642" i="9"/>
  <c r="V641" i="9"/>
  <c r="T641" i="9"/>
  <c r="V640" i="9"/>
  <c r="T640" i="9"/>
  <c r="V639" i="9"/>
  <c r="T639" i="9"/>
  <c r="V638" i="9"/>
  <c r="T638" i="9"/>
  <c r="V637" i="9"/>
  <c r="T637" i="9"/>
  <c r="V636" i="9"/>
  <c r="T636" i="9"/>
  <c r="V635" i="9"/>
  <c r="T635" i="9"/>
  <c r="V634" i="9"/>
  <c r="T634" i="9"/>
  <c r="V633" i="9"/>
  <c r="T633" i="9"/>
  <c r="V632" i="9"/>
  <c r="T632" i="9"/>
  <c r="V631" i="9"/>
  <c r="T631" i="9"/>
  <c r="V630" i="9"/>
  <c r="T630" i="9"/>
  <c r="V629" i="9"/>
  <c r="T629" i="9"/>
  <c r="V628" i="9"/>
  <c r="T628" i="9"/>
  <c r="V627" i="9"/>
  <c r="T627" i="9"/>
  <c r="V626" i="9"/>
  <c r="T626" i="9"/>
  <c r="V625" i="9"/>
  <c r="T625" i="9"/>
  <c r="V624" i="9"/>
  <c r="T624" i="9"/>
  <c r="V623" i="9"/>
  <c r="T623" i="9"/>
  <c r="V622" i="9"/>
  <c r="T622" i="9"/>
  <c r="V621" i="9"/>
  <c r="T621" i="9"/>
  <c r="V620" i="9"/>
  <c r="T620" i="9"/>
  <c r="V619" i="9"/>
  <c r="T619" i="9"/>
  <c r="V618" i="9"/>
  <c r="T618" i="9"/>
  <c r="V617" i="9"/>
  <c r="T617" i="9"/>
  <c r="V616" i="9"/>
  <c r="T616" i="9"/>
  <c r="V615" i="9"/>
  <c r="T615" i="9"/>
  <c r="V614" i="9"/>
  <c r="T614" i="9"/>
  <c r="V613" i="9"/>
  <c r="T613" i="9"/>
  <c r="V612" i="9"/>
  <c r="T612" i="9"/>
  <c r="V611" i="9"/>
  <c r="T611" i="9"/>
  <c r="V610" i="9"/>
  <c r="T610" i="9"/>
  <c r="V609" i="9"/>
  <c r="T609" i="9"/>
  <c r="V608" i="9"/>
  <c r="T608" i="9"/>
  <c r="V607" i="9"/>
  <c r="T607" i="9"/>
  <c r="V606" i="9"/>
  <c r="T606" i="9"/>
  <c r="V605" i="9"/>
  <c r="T605" i="9"/>
  <c r="V604" i="9"/>
  <c r="T604" i="9"/>
  <c r="V603" i="9"/>
  <c r="T603" i="9"/>
  <c r="V602" i="9"/>
  <c r="T602" i="9"/>
  <c r="V601" i="9"/>
  <c r="T601" i="9"/>
  <c r="V600" i="9"/>
  <c r="T600" i="9"/>
  <c r="V599" i="9"/>
  <c r="T599" i="9"/>
  <c r="V598" i="9"/>
  <c r="T598" i="9"/>
  <c r="V597" i="9"/>
  <c r="T597" i="9"/>
  <c r="V596" i="9"/>
  <c r="T596" i="9"/>
  <c r="V595" i="9"/>
  <c r="T595" i="9"/>
  <c r="V594" i="9"/>
  <c r="T594" i="9"/>
  <c r="V593" i="9"/>
  <c r="T593" i="9"/>
  <c r="V592" i="9"/>
  <c r="T592" i="9"/>
  <c r="V591" i="9"/>
  <c r="T591" i="9"/>
  <c r="V590" i="9"/>
  <c r="T590" i="9"/>
  <c r="V589" i="9"/>
  <c r="T589" i="9"/>
  <c r="V588" i="9"/>
  <c r="T588" i="9"/>
  <c r="V587" i="9"/>
  <c r="T587" i="9"/>
  <c r="V586" i="9"/>
  <c r="T586" i="9"/>
  <c r="V585" i="9"/>
  <c r="T585" i="9"/>
  <c r="V584" i="9"/>
  <c r="T584" i="9"/>
  <c r="V583" i="9"/>
  <c r="T583" i="9"/>
  <c r="V582" i="9"/>
  <c r="T582" i="9"/>
  <c r="V581" i="9"/>
  <c r="T581" i="9"/>
  <c r="V580" i="9"/>
  <c r="T580" i="9"/>
  <c r="V579" i="9"/>
  <c r="T579" i="9"/>
  <c r="V578" i="9"/>
  <c r="T578" i="9"/>
  <c r="V577" i="9"/>
  <c r="T577" i="9"/>
  <c r="V576" i="9"/>
  <c r="T576" i="9"/>
  <c r="V575" i="9"/>
  <c r="T575" i="9"/>
  <c r="V574" i="9"/>
  <c r="T574" i="9"/>
  <c r="V573" i="9"/>
  <c r="T573" i="9"/>
  <c r="V572" i="9"/>
  <c r="T572" i="9"/>
  <c r="V571" i="9"/>
  <c r="T571" i="9"/>
  <c r="V570" i="9"/>
  <c r="T570" i="9"/>
  <c r="V569" i="9"/>
  <c r="T569" i="9"/>
  <c r="V568" i="9"/>
  <c r="T568" i="9"/>
  <c r="V567" i="9"/>
  <c r="T567" i="9"/>
  <c r="V566" i="9"/>
  <c r="T566" i="9"/>
  <c r="V565" i="9"/>
  <c r="T565" i="9"/>
  <c r="V564" i="9"/>
  <c r="T564" i="9"/>
  <c r="V563" i="9"/>
  <c r="T563" i="9"/>
  <c r="V562" i="9"/>
  <c r="T562" i="9"/>
  <c r="V561" i="9"/>
  <c r="T561" i="9"/>
  <c r="V560" i="9"/>
  <c r="T560" i="9"/>
  <c r="V559" i="9"/>
  <c r="T559" i="9"/>
  <c r="V558" i="9"/>
  <c r="T558" i="9"/>
  <c r="V557" i="9"/>
  <c r="T557" i="9"/>
  <c r="V556" i="9"/>
  <c r="T556" i="9"/>
  <c r="V555" i="9"/>
  <c r="T555" i="9"/>
  <c r="V554" i="9"/>
  <c r="T554" i="9"/>
  <c r="V553" i="9"/>
  <c r="T553" i="9"/>
  <c r="V552" i="9"/>
  <c r="T552" i="9"/>
  <c r="V551" i="9"/>
  <c r="T551" i="9"/>
  <c r="V550" i="9"/>
  <c r="T550" i="9"/>
  <c r="V549" i="9"/>
  <c r="T549" i="9"/>
  <c r="V548" i="9"/>
  <c r="T548" i="9"/>
  <c r="V547" i="9"/>
  <c r="T547" i="9"/>
  <c r="V546" i="9"/>
  <c r="T546" i="9"/>
  <c r="V545" i="9"/>
  <c r="T545" i="9"/>
  <c r="V544" i="9"/>
  <c r="T544" i="9"/>
  <c r="V543" i="9"/>
  <c r="T543" i="9"/>
  <c r="V542" i="9"/>
  <c r="T542" i="9"/>
  <c r="V541" i="9"/>
  <c r="T541" i="9"/>
  <c r="V540" i="9"/>
  <c r="T540" i="9"/>
  <c r="V539" i="9"/>
  <c r="T539" i="9"/>
  <c r="V538" i="9"/>
  <c r="T538" i="9"/>
  <c r="V537" i="9"/>
  <c r="T537" i="9"/>
  <c r="V536" i="9"/>
  <c r="T536" i="9"/>
  <c r="V535" i="9"/>
  <c r="T535" i="9"/>
  <c r="V534" i="9"/>
  <c r="T534" i="9"/>
  <c r="V533" i="9"/>
  <c r="T533" i="9"/>
  <c r="V532" i="9"/>
  <c r="T532" i="9"/>
  <c r="V531" i="9"/>
  <c r="T531" i="9"/>
  <c r="V530" i="9"/>
  <c r="T530" i="9"/>
  <c r="V529" i="9"/>
  <c r="T529" i="9"/>
  <c r="V528" i="9"/>
  <c r="T528" i="9"/>
  <c r="V527" i="9"/>
  <c r="T527" i="9"/>
  <c r="V526" i="9"/>
  <c r="T526" i="9"/>
  <c r="V525" i="9"/>
  <c r="T525" i="9"/>
  <c r="V524" i="9"/>
  <c r="T524" i="9"/>
  <c r="V523" i="9"/>
  <c r="T523" i="9"/>
  <c r="V522" i="9"/>
  <c r="T522" i="9"/>
  <c r="V521" i="9"/>
  <c r="T521" i="9"/>
  <c r="V520" i="9"/>
  <c r="T520" i="9"/>
  <c r="V519" i="9"/>
  <c r="T519" i="9"/>
  <c r="V518" i="9"/>
  <c r="T518" i="9"/>
  <c r="V517" i="9"/>
  <c r="T517" i="9"/>
  <c r="V516" i="9"/>
  <c r="T516" i="9"/>
  <c r="V515" i="9"/>
  <c r="T515" i="9"/>
  <c r="V514" i="9"/>
  <c r="T514" i="9"/>
  <c r="V513" i="9"/>
  <c r="T513" i="9"/>
  <c r="V512" i="9"/>
  <c r="T512" i="9"/>
  <c r="V511" i="9"/>
  <c r="T511" i="9"/>
  <c r="V510" i="9"/>
  <c r="T510" i="9"/>
  <c r="V509" i="9"/>
  <c r="T509" i="9"/>
  <c r="V508" i="9"/>
  <c r="T508" i="9"/>
  <c r="V507" i="9"/>
  <c r="T507" i="9"/>
  <c r="V506" i="9"/>
  <c r="T506" i="9"/>
  <c r="V505" i="9"/>
  <c r="T505" i="9"/>
  <c r="V504" i="9"/>
  <c r="T504" i="9"/>
  <c r="V503" i="9"/>
  <c r="T503" i="9"/>
  <c r="V502" i="9"/>
  <c r="T502" i="9"/>
  <c r="V501" i="9"/>
  <c r="T501" i="9"/>
  <c r="V500" i="9"/>
  <c r="T500" i="9"/>
  <c r="V499" i="9"/>
  <c r="T499" i="9"/>
  <c r="V498" i="9"/>
  <c r="T498" i="9"/>
  <c r="V497" i="9"/>
  <c r="T497" i="9"/>
  <c r="V496" i="9"/>
  <c r="T496" i="9"/>
  <c r="V495" i="9"/>
  <c r="T495" i="9"/>
  <c r="V494" i="9"/>
  <c r="T494" i="9"/>
  <c r="V493" i="9"/>
  <c r="T493" i="9"/>
  <c r="V492" i="9"/>
  <c r="T492" i="9"/>
  <c r="V491" i="9"/>
  <c r="T491" i="9"/>
  <c r="V490" i="9"/>
  <c r="T490" i="9"/>
  <c r="V489" i="9"/>
  <c r="T489" i="9"/>
  <c r="V488" i="9"/>
  <c r="T488" i="9"/>
  <c r="V487" i="9"/>
  <c r="T487" i="9"/>
  <c r="V486" i="9"/>
  <c r="T486" i="9"/>
  <c r="V485" i="9"/>
  <c r="T485" i="9"/>
  <c r="V484" i="9"/>
  <c r="T484" i="9"/>
  <c r="V483" i="9"/>
  <c r="T483" i="9"/>
  <c r="V482" i="9"/>
  <c r="T482" i="9"/>
  <c r="V481" i="9"/>
  <c r="T481" i="9"/>
  <c r="V480" i="9"/>
  <c r="T480" i="9"/>
  <c r="V479" i="9"/>
  <c r="T479" i="9"/>
  <c r="V478" i="9"/>
  <c r="T478" i="9"/>
  <c r="V477" i="9"/>
  <c r="T477" i="9"/>
  <c r="V476" i="9"/>
  <c r="T476" i="9"/>
  <c r="V475" i="9"/>
  <c r="T475" i="9"/>
  <c r="V474" i="9"/>
  <c r="T474" i="9"/>
  <c r="V473" i="9"/>
  <c r="T473" i="9"/>
  <c r="V472" i="9"/>
  <c r="T472" i="9"/>
  <c r="V471" i="9"/>
  <c r="T471" i="9"/>
  <c r="V470" i="9"/>
  <c r="T470" i="9"/>
  <c r="V469" i="9"/>
  <c r="T469" i="9"/>
  <c r="V468" i="9"/>
  <c r="T468" i="9"/>
  <c r="V467" i="9"/>
  <c r="T467" i="9"/>
  <c r="V466" i="9"/>
  <c r="T466" i="9"/>
  <c r="V465" i="9"/>
  <c r="T465" i="9"/>
  <c r="V464" i="9"/>
  <c r="T464" i="9"/>
  <c r="V463" i="9"/>
  <c r="T463" i="9"/>
  <c r="V462" i="9"/>
  <c r="T462" i="9"/>
  <c r="V461" i="9"/>
  <c r="T461" i="9"/>
  <c r="V460" i="9"/>
  <c r="T460" i="9"/>
  <c r="V459" i="9"/>
  <c r="T459" i="9"/>
  <c r="V458" i="9"/>
  <c r="T458" i="9"/>
  <c r="V457" i="9"/>
  <c r="T457" i="9"/>
  <c r="V456" i="9"/>
  <c r="T456" i="9"/>
  <c r="V455" i="9"/>
  <c r="T455" i="9"/>
  <c r="V454" i="9"/>
  <c r="T454" i="9"/>
  <c r="V453" i="9"/>
  <c r="T453" i="9"/>
  <c r="V452" i="9"/>
  <c r="T452" i="9"/>
  <c r="V451" i="9"/>
  <c r="T451" i="9"/>
  <c r="V450" i="9"/>
  <c r="T450" i="9"/>
  <c r="V449" i="9"/>
  <c r="T449" i="9"/>
  <c r="V448" i="9"/>
  <c r="T448" i="9"/>
  <c r="V447" i="9"/>
  <c r="T447" i="9"/>
  <c r="V446" i="9"/>
  <c r="T446" i="9"/>
  <c r="V445" i="9"/>
  <c r="T445" i="9"/>
  <c r="V444" i="9"/>
  <c r="T444" i="9"/>
  <c r="V443" i="9"/>
  <c r="T443" i="9"/>
  <c r="V442" i="9"/>
  <c r="T442" i="9"/>
  <c r="V441" i="9"/>
  <c r="T441" i="9"/>
  <c r="V440" i="9"/>
  <c r="T440" i="9"/>
  <c r="V439" i="9"/>
  <c r="T439" i="9"/>
  <c r="V438" i="9"/>
  <c r="T438" i="9"/>
  <c r="V437" i="9"/>
  <c r="T437" i="9"/>
  <c r="V436" i="9"/>
  <c r="T436" i="9"/>
  <c r="V435" i="9"/>
  <c r="T435" i="9"/>
  <c r="V434" i="9"/>
  <c r="T434" i="9"/>
  <c r="V433" i="9"/>
  <c r="T433" i="9"/>
  <c r="V432" i="9"/>
  <c r="T432" i="9"/>
  <c r="V431" i="9"/>
  <c r="T431" i="9"/>
  <c r="V430" i="9"/>
  <c r="T430" i="9"/>
  <c r="V429" i="9"/>
  <c r="T429" i="9"/>
  <c r="V428" i="9"/>
  <c r="T428" i="9"/>
  <c r="V427" i="9"/>
  <c r="T427" i="9"/>
  <c r="V426" i="9"/>
  <c r="T426" i="9"/>
  <c r="V425" i="9"/>
  <c r="T425" i="9"/>
  <c r="V424" i="9"/>
  <c r="T424" i="9"/>
  <c r="V423" i="9"/>
  <c r="T423" i="9"/>
  <c r="V422" i="9"/>
  <c r="T422" i="9"/>
  <c r="V421" i="9"/>
  <c r="T421" i="9"/>
  <c r="V420" i="9"/>
  <c r="T420" i="9"/>
  <c r="V419" i="9"/>
  <c r="T419" i="9"/>
  <c r="V418" i="9"/>
  <c r="T418" i="9"/>
  <c r="V417" i="9"/>
  <c r="T417" i="9"/>
  <c r="V416" i="9"/>
  <c r="T416" i="9"/>
  <c r="V415" i="9"/>
  <c r="T415" i="9"/>
  <c r="V414" i="9"/>
  <c r="T414" i="9"/>
  <c r="V413" i="9"/>
  <c r="T413" i="9"/>
  <c r="V412" i="9"/>
  <c r="T412" i="9"/>
  <c r="V411" i="9"/>
  <c r="T411" i="9"/>
  <c r="V410" i="9"/>
  <c r="T410" i="9"/>
  <c r="V409" i="9"/>
  <c r="T409" i="9"/>
  <c r="V408" i="9"/>
  <c r="T408" i="9"/>
  <c r="V407" i="9"/>
  <c r="T407" i="9"/>
  <c r="V406" i="9"/>
  <c r="T406" i="9"/>
  <c r="V405" i="9"/>
  <c r="T405" i="9"/>
  <c r="V404" i="9"/>
  <c r="T404" i="9"/>
  <c r="V403" i="9"/>
  <c r="T403" i="9"/>
  <c r="V402" i="9"/>
  <c r="T402" i="9"/>
  <c r="V401" i="9"/>
  <c r="T401" i="9"/>
  <c r="V400" i="9"/>
  <c r="T400" i="9"/>
  <c r="V399" i="9"/>
  <c r="T399" i="9"/>
  <c r="V398" i="9"/>
  <c r="T398" i="9"/>
  <c r="V397" i="9"/>
  <c r="T397" i="9"/>
  <c r="V396" i="9"/>
  <c r="T396" i="9"/>
  <c r="V395" i="9"/>
  <c r="T395" i="9"/>
  <c r="V394" i="9"/>
  <c r="T394" i="9"/>
  <c r="V393" i="9"/>
  <c r="T393" i="9"/>
  <c r="V392" i="9"/>
  <c r="T392" i="9"/>
  <c r="V391" i="9"/>
  <c r="T391" i="9"/>
  <c r="V390" i="9"/>
  <c r="T390" i="9"/>
  <c r="V389" i="9"/>
  <c r="T389" i="9"/>
  <c r="V388" i="9"/>
  <c r="T388" i="9"/>
  <c r="V387" i="9"/>
  <c r="T387" i="9"/>
  <c r="V386" i="9"/>
  <c r="T386" i="9"/>
  <c r="V385" i="9"/>
  <c r="T385" i="9"/>
  <c r="V384" i="9"/>
  <c r="T384" i="9"/>
  <c r="V383" i="9"/>
  <c r="T383" i="9"/>
  <c r="V382" i="9"/>
  <c r="T382" i="9"/>
  <c r="V381" i="9"/>
  <c r="T381" i="9"/>
  <c r="V380" i="9"/>
  <c r="T380" i="9"/>
  <c r="V379" i="9"/>
  <c r="T379" i="9"/>
  <c r="V378" i="9"/>
  <c r="T378" i="9"/>
  <c r="V377" i="9"/>
  <c r="T377" i="9"/>
  <c r="V376" i="9"/>
  <c r="T376" i="9"/>
  <c r="V375" i="9"/>
  <c r="T375" i="9"/>
  <c r="V374" i="9"/>
  <c r="T374" i="9"/>
  <c r="V373" i="9"/>
  <c r="T373" i="9"/>
  <c r="V372" i="9"/>
  <c r="T372" i="9"/>
  <c r="V371" i="9"/>
  <c r="T371" i="9"/>
  <c r="V370" i="9"/>
  <c r="T370" i="9"/>
  <c r="V369" i="9"/>
  <c r="T369" i="9"/>
  <c r="V368" i="9"/>
  <c r="T368" i="9"/>
  <c r="V367" i="9"/>
  <c r="T367" i="9"/>
  <c r="V366" i="9"/>
  <c r="T366" i="9"/>
  <c r="V365" i="9"/>
  <c r="T365" i="9"/>
  <c r="V364" i="9"/>
  <c r="T364" i="9"/>
  <c r="V363" i="9"/>
  <c r="T363" i="9"/>
  <c r="V362" i="9"/>
  <c r="T362" i="9"/>
  <c r="V361" i="9"/>
  <c r="T361" i="9"/>
  <c r="V360" i="9"/>
  <c r="T360" i="9"/>
  <c r="V359" i="9"/>
  <c r="T359" i="9"/>
  <c r="V358" i="9"/>
  <c r="T358" i="9"/>
  <c r="V357" i="9"/>
  <c r="T357" i="9"/>
  <c r="V356" i="9"/>
  <c r="T356" i="9"/>
  <c r="V355" i="9"/>
  <c r="T355" i="9"/>
  <c r="V354" i="9"/>
  <c r="T354" i="9"/>
  <c r="V353" i="9"/>
  <c r="T353" i="9"/>
  <c r="V352" i="9"/>
  <c r="T352" i="9"/>
  <c r="V351" i="9"/>
  <c r="T351" i="9"/>
  <c r="V350" i="9"/>
  <c r="T350" i="9"/>
  <c r="V349" i="9"/>
  <c r="T349" i="9"/>
  <c r="V348" i="9"/>
  <c r="T348" i="9"/>
  <c r="V347" i="9"/>
  <c r="T347" i="9"/>
  <c r="V346" i="9"/>
  <c r="T346" i="9"/>
  <c r="V345" i="9"/>
  <c r="T345" i="9"/>
  <c r="V344" i="9"/>
  <c r="T344" i="9"/>
  <c r="V343" i="9"/>
  <c r="T343" i="9"/>
  <c r="V342" i="9"/>
  <c r="T342" i="9"/>
  <c r="V341" i="9"/>
  <c r="T341" i="9"/>
  <c r="V340" i="9"/>
  <c r="T340" i="9"/>
  <c r="V339" i="9"/>
  <c r="T339" i="9"/>
  <c r="V338" i="9"/>
  <c r="T338" i="9"/>
  <c r="V337" i="9"/>
  <c r="T337" i="9"/>
  <c r="V336" i="9"/>
  <c r="T336" i="9"/>
  <c r="V335" i="9"/>
  <c r="T335" i="9"/>
  <c r="V334" i="9"/>
  <c r="T334" i="9"/>
  <c r="V333" i="9"/>
  <c r="T333" i="9"/>
  <c r="V332" i="9"/>
  <c r="T332" i="9"/>
  <c r="V331" i="9"/>
  <c r="T331" i="9"/>
  <c r="V330" i="9"/>
  <c r="T330" i="9"/>
  <c r="V329" i="9"/>
  <c r="T329" i="9"/>
  <c r="V328" i="9"/>
  <c r="T328" i="9"/>
  <c r="V327" i="9"/>
  <c r="T327" i="9"/>
  <c r="V326" i="9"/>
  <c r="T326" i="9"/>
  <c r="V325" i="9"/>
  <c r="T325" i="9"/>
  <c r="V324" i="9"/>
  <c r="T324" i="9"/>
  <c r="V323" i="9"/>
  <c r="T323" i="9"/>
  <c r="V322" i="9"/>
  <c r="T322" i="9"/>
  <c r="V321" i="9"/>
  <c r="T321" i="9"/>
  <c r="V320" i="9"/>
  <c r="T320" i="9"/>
  <c r="V319" i="9"/>
  <c r="T319" i="9"/>
  <c r="V318" i="9"/>
  <c r="T318" i="9"/>
  <c r="V317" i="9"/>
  <c r="T317" i="9"/>
  <c r="V316" i="9"/>
  <c r="T316" i="9"/>
  <c r="V315" i="9"/>
  <c r="T315" i="9"/>
  <c r="V314" i="9"/>
  <c r="T314" i="9"/>
  <c r="V313" i="9"/>
  <c r="T313" i="9"/>
  <c r="V312" i="9"/>
  <c r="T312" i="9"/>
  <c r="V311" i="9"/>
  <c r="T311" i="9"/>
  <c r="V310" i="9"/>
  <c r="T310" i="9"/>
  <c r="V309" i="9"/>
  <c r="T309" i="9"/>
  <c r="V308" i="9"/>
  <c r="T308" i="9"/>
  <c r="V307" i="9"/>
  <c r="T307" i="9"/>
  <c r="V306" i="9"/>
  <c r="T306" i="9"/>
  <c r="V305" i="9"/>
  <c r="T305" i="9"/>
  <c r="V304" i="9"/>
  <c r="T304" i="9"/>
  <c r="V303" i="9"/>
  <c r="T303" i="9"/>
  <c r="V302" i="9"/>
  <c r="T302" i="9"/>
  <c r="V301" i="9"/>
  <c r="T301" i="9"/>
  <c r="V300" i="9"/>
  <c r="T300" i="9"/>
  <c r="V299" i="9"/>
  <c r="T299" i="9"/>
  <c r="V298" i="9"/>
  <c r="T298" i="9"/>
  <c r="V297" i="9"/>
  <c r="T297" i="9"/>
  <c r="V296" i="9"/>
  <c r="T296" i="9"/>
  <c r="V295" i="9"/>
  <c r="T295" i="9"/>
  <c r="V294" i="9"/>
  <c r="T294" i="9"/>
  <c r="V293" i="9"/>
  <c r="T293" i="9"/>
  <c r="V292" i="9"/>
  <c r="T292" i="9"/>
  <c r="V291" i="9"/>
  <c r="T291" i="9"/>
  <c r="V290" i="9"/>
  <c r="T290" i="9"/>
  <c r="V289" i="9"/>
  <c r="T289" i="9"/>
  <c r="V288" i="9"/>
  <c r="T288" i="9"/>
  <c r="V287" i="9"/>
  <c r="T287" i="9"/>
  <c r="V286" i="9"/>
  <c r="T286" i="9"/>
  <c r="V285" i="9"/>
  <c r="T285" i="9"/>
  <c r="V284" i="9"/>
  <c r="T284" i="9"/>
  <c r="V283" i="9"/>
  <c r="T283" i="9"/>
  <c r="V282" i="9"/>
  <c r="T282" i="9"/>
  <c r="V281" i="9"/>
  <c r="T281" i="9"/>
  <c r="V280" i="9"/>
  <c r="T280" i="9"/>
  <c r="V279" i="9"/>
  <c r="T279" i="9"/>
  <c r="V278" i="9"/>
  <c r="T278" i="9"/>
  <c r="V277" i="9"/>
  <c r="T277" i="9"/>
  <c r="V276" i="9"/>
  <c r="T276" i="9"/>
  <c r="V275" i="9"/>
  <c r="T275" i="9"/>
  <c r="V274" i="9"/>
  <c r="T274" i="9"/>
  <c r="V273" i="9"/>
  <c r="T273" i="9"/>
  <c r="V272" i="9"/>
  <c r="T272" i="9"/>
  <c r="V271" i="9"/>
  <c r="T271" i="9"/>
  <c r="V270" i="9"/>
  <c r="T270" i="9"/>
  <c r="V269" i="9"/>
  <c r="T269" i="9"/>
  <c r="V268" i="9"/>
  <c r="T268" i="9"/>
  <c r="V267" i="9"/>
  <c r="T267" i="9"/>
  <c r="V266" i="9"/>
  <c r="T266" i="9"/>
  <c r="V265" i="9"/>
  <c r="T265" i="9"/>
  <c r="V264" i="9"/>
  <c r="T264" i="9"/>
  <c r="V263" i="9"/>
  <c r="T263" i="9"/>
  <c r="V262" i="9"/>
  <c r="T262" i="9"/>
  <c r="V261" i="9"/>
  <c r="T261" i="9"/>
  <c r="V260" i="9"/>
  <c r="T260" i="9"/>
  <c r="V259" i="9"/>
  <c r="T259" i="9"/>
  <c r="V258" i="9"/>
  <c r="T258" i="9"/>
  <c r="V257" i="9"/>
  <c r="T257" i="9"/>
  <c r="V256" i="9"/>
  <c r="T256" i="9"/>
  <c r="V255" i="9"/>
  <c r="T255" i="9"/>
  <c r="V254" i="9"/>
  <c r="T254" i="9"/>
  <c r="V253" i="9"/>
  <c r="T253" i="9"/>
  <c r="V252" i="9"/>
  <c r="T252" i="9"/>
  <c r="V251" i="9"/>
  <c r="T251" i="9"/>
  <c r="V250" i="9"/>
  <c r="T250" i="9"/>
  <c r="V249" i="9"/>
  <c r="T249" i="9"/>
  <c r="V248" i="9"/>
  <c r="T248" i="9"/>
  <c r="V247" i="9"/>
  <c r="T247" i="9"/>
  <c r="V246" i="9"/>
  <c r="T246" i="9"/>
  <c r="V245" i="9"/>
  <c r="T245" i="9"/>
  <c r="V244" i="9"/>
  <c r="T244" i="9"/>
  <c r="V243" i="9"/>
  <c r="T243" i="9"/>
  <c r="V242" i="9"/>
  <c r="T242" i="9"/>
  <c r="V241" i="9"/>
  <c r="T241" i="9"/>
  <c r="V240" i="9"/>
  <c r="T240" i="9"/>
  <c r="V239" i="9"/>
  <c r="T239" i="9"/>
  <c r="V238" i="9"/>
  <c r="T238" i="9"/>
  <c r="V237" i="9"/>
  <c r="T237" i="9"/>
  <c r="V236" i="9"/>
  <c r="T236" i="9"/>
  <c r="V235" i="9"/>
  <c r="T235" i="9"/>
  <c r="V234" i="9"/>
  <c r="T234" i="9"/>
  <c r="V233" i="9"/>
  <c r="T233" i="9"/>
  <c r="V232" i="9"/>
  <c r="T232" i="9"/>
  <c r="V231" i="9"/>
  <c r="T231" i="9"/>
  <c r="V230" i="9"/>
  <c r="T230" i="9"/>
  <c r="V229" i="9"/>
  <c r="T229" i="9"/>
  <c r="V228" i="9"/>
  <c r="T228" i="9"/>
  <c r="V227" i="9"/>
  <c r="T227" i="9"/>
  <c r="V226" i="9"/>
  <c r="T226" i="9"/>
  <c r="V225" i="9"/>
  <c r="T225" i="9"/>
  <c r="V224" i="9"/>
  <c r="T224" i="9"/>
  <c r="V223" i="9"/>
  <c r="T223" i="9"/>
  <c r="V222" i="9"/>
  <c r="T222" i="9"/>
  <c r="V221" i="9"/>
  <c r="T221" i="9"/>
  <c r="V220" i="9"/>
  <c r="T220" i="9"/>
  <c r="V219" i="9"/>
  <c r="T219" i="9"/>
  <c r="V218" i="9"/>
  <c r="T218" i="9"/>
  <c r="V217" i="9"/>
  <c r="T217" i="9"/>
  <c r="V216" i="9"/>
  <c r="T216" i="9"/>
  <c r="V215" i="9"/>
  <c r="T215" i="9"/>
  <c r="V214" i="9"/>
  <c r="T214" i="9"/>
  <c r="V213" i="9"/>
  <c r="T213" i="9"/>
  <c r="V212" i="9"/>
  <c r="T212" i="9"/>
  <c r="V211" i="9"/>
  <c r="T211" i="9"/>
  <c r="V210" i="9"/>
  <c r="T210" i="9"/>
  <c r="V209" i="9"/>
  <c r="T209" i="9"/>
  <c r="V208" i="9"/>
  <c r="T208" i="9"/>
  <c r="V207" i="9"/>
  <c r="T207" i="9"/>
  <c r="V206" i="9"/>
  <c r="T206" i="9"/>
  <c r="V205" i="9"/>
  <c r="T205" i="9"/>
  <c r="V204" i="9"/>
  <c r="T204" i="9"/>
  <c r="V203" i="9"/>
  <c r="T203" i="9"/>
  <c r="V202" i="9"/>
  <c r="T202" i="9"/>
  <c r="V201" i="9"/>
  <c r="T201" i="9"/>
  <c r="V200" i="9"/>
  <c r="T200" i="9"/>
  <c r="V199" i="9"/>
  <c r="T199" i="9"/>
  <c r="V198" i="9"/>
  <c r="T198" i="9"/>
  <c r="V197" i="9"/>
  <c r="T197" i="9"/>
  <c r="V196" i="9"/>
  <c r="T196" i="9"/>
  <c r="V195" i="9"/>
  <c r="T195" i="9"/>
  <c r="V194" i="9"/>
  <c r="T194" i="9"/>
  <c r="V193" i="9"/>
  <c r="T193" i="9"/>
  <c r="V192" i="9"/>
  <c r="T192" i="9"/>
  <c r="V191" i="9"/>
  <c r="T191" i="9"/>
  <c r="V190" i="9"/>
  <c r="T190" i="9"/>
  <c r="V189" i="9"/>
  <c r="T189" i="9"/>
  <c r="V188" i="9"/>
  <c r="T188" i="9"/>
  <c r="V187" i="9"/>
  <c r="T187" i="9"/>
  <c r="V186" i="9"/>
  <c r="T186" i="9"/>
  <c r="V185" i="9"/>
  <c r="T185" i="9"/>
  <c r="V184" i="9"/>
  <c r="T184" i="9"/>
  <c r="V183" i="9"/>
  <c r="T183" i="9"/>
  <c r="V182" i="9"/>
  <c r="T182" i="9"/>
  <c r="V181" i="9"/>
  <c r="T181" i="9"/>
  <c r="V180" i="9"/>
  <c r="T180" i="9"/>
  <c r="V179" i="9"/>
  <c r="T179" i="9"/>
  <c r="V178" i="9"/>
  <c r="T178" i="9"/>
  <c r="V177" i="9"/>
  <c r="T177" i="9"/>
  <c r="V176" i="9"/>
  <c r="T176" i="9"/>
  <c r="V175" i="9"/>
  <c r="T175" i="9"/>
  <c r="V174" i="9"/>
  <c r="T174" i="9"/>
  <c r="V173" i="9"/>
  <c r="T173" i="9"/>
  <c r="V172" i="9"/>
  <c r="T172" i="9"/>
  <c r="V171" i="9"/>
  <c r="T171" i="9"/>
  <c r="V170" i="9"/>
  <c r="T170" i="9"/>
  <c r="V169" i="9"/>
  <c r="T169" i="9"/>
  <c r="V168" i="9"/>
  <c r="T168" i="9"/>
  <c r="V167" i="9"/>
  <c r="T167" i="9"/>
  <c r="V166" i="9"/>
  <c r="T166" i="9"/>
  <c r="V165" i="9"/>
  <c r="T165" i="9"/>
  <c r="V164" i="9"/>
  <c r="T164" i="9"/>
  <c r="V163" i="9"/>
  <c r="T163" i="9"/>
  <c r="V162" i="9"/>
  <c r="T162" i="9"/>
  <c r="V161" i="9"/>
  <c r="T161" i="9"/>
  <c r="V160" i="9"/>
  <c r="T160" i="9"/>
  <c r="V159" i="9"/>
  <c r="T159" i="9"/>
  <c r="V158" i="9"/>
  <c r="T158" i="9"/>
  <c r="V157" i="9"/>
  <c r="T157" i="9"/>
  <c r="V156" i="9"/>
  <c r="T156" i="9"/>
  <c r="V155" i="9"/>
  <c r="T155" i="9"/>
  <c r="V154" i="9"/>
  <c r="T154" i="9"/>
  <c r="V153" i="9"/>
  <c r="T153" i="9"/>
  <c r="V152" i="9"/>
  <c r="T152" i="9"/>
  <c r="V151" i="9"/>
  <c r="T151" i="9"/>
  <c r="V150" i="9"/>
  <c r="T150" i="9"/>
  <c r="V149" i="9"/>
  <c r="T149" i="9"/>
  <c r="V148" i="9"/>
  <c r="T148" i="9"/>
  <c r="V147" i="9"/>
  <c r="T147" i="9"/>
  <c r="V146" i="9"/>
  <c r="T146" i="9"/>
  <c r="V145" i="9"/>
  <c r="T145" i="9"/>
  <c r="V144" i="9"/>
  <c r="T144" i="9"/>
  <c r="V143" i="9"/>
  <c r="T143" i="9"/>
  <c r="V142" i="9"/>
  <c r="T142" i="9"/>
  <c r="V141" i="9"/>
  <c r="T141" i="9"/>
  <c r="V140" i="9"/>
  <c r="T140" i="9"/>
  <c r="V139" i="9"/>
  <c r="T139" i="9"/>
  <c r="V138" i="9"/>
  <c r="T138" i="9"/>
  <c r="V137" i="9"/>
  <c r="T137" i="9"/>
  <c r="V136" i="9"/>
  <c r="T136" i="9"/>
  <c r="V135" i="9"/>
  <c r="T135" i="9"/>
  <c r="V134" i="9"/>
  <c r="T134" i="9"/>
  <c r="V133" i="9"/>
  <c r="T133" i="9"/>
  <c r="V132" i="9"/>
  <c r="T132" i="9"/>
  <c r="V131" i="9"/>
  <c r="T131" i="9"/>
  <c r="V130" i="9"/>
  <c r="T130" i="9"/>
  <c r="V129" i="9"/>
  <c r="T129" i="9"/>
  <c r="V128" i="9"/>
  <c r="T128" i="9"/>
  <c r="V127" i="9"/>
  <c r="T127" i="9"/>
  <c r="V126" i="9"/>
  <c r="T126" i="9"/>
  <c r="V125" i="9"/>
  <c r="T125" i="9"/>
  <c r="V124" i="9"/>
  <c r="T124" i="9"/>
  <c r="V123" i="9"/>
  <c r="T123" i="9"/>
  <c r="V122" i="9"/>
  <c r="T122" i="9"/>
  <c r="V121" i="9"/>
  <c r="T121" i="9"/>
  <c r="V120" i="9"/>
  <c r="T120" i="9"/>
  <c r="V119" i="9"/>
  <c r="T119" i="9"/>
  <c r="V118" i="9"/>
  <c r="T118" i="9"/>
  <c r="V117" i="9"/>
  <c r="T117" i="9"/>
  <c r="V116" i="9"/>
  <c r="T116" i="9"/>
  <c r="V115" i="9"/>
  <c r="T115" i="9"/>
  <c r="V114" i="9"/>
  <c r="T114" i="9"/>
  <c r="V113" i="9"/>
  <c r="T113" i="9"/>
  <c r="V112" i="9"/>
  <c r="T112" i="9"/>
  <c r="V111" i="9"/>
  <c r="T111" i="9"/>
  <c r="V110" i="9"/>
  <c r="T110" i="9"/>
  <c r="V109" i="9"/>
  <c r="T109" i="9"/>
  <c r="V108" i="9"/>
  <c r="T108" i="9"/>
  <c r="V107" i="9"/>
  <c r="T107" i="9"/>
  <c r="V106" i="9"/>
  <c r="T106" i="9"/>
  <c r="V105" i="9"/>
  <c r="T105" i="9"/>
  <c r="V104" i="9"/>
  <c r="T104" i="9"/>
  <c r="V103" i="9"/>
  <c r="T103" i="9"/>
  <c r="V102" i="9"/>
  <c r="T102" i="9"/>
  <c r="V101" i="9"/>
  <c r="T101" i="9"/>
  <c r="V100" i="9"/>
  <c r="T100" i="9"/>
  <c r="V99" i="9"/>
  <c r="T99" i="9"/>
  <c r="V98" i="9"/>
  <c r="T98" i="9"/>
  <c r="V97" i="9"/>
  <c r="T97" i="9"/>
  <c r="V96" i="9"/>
  <c r="T96" i="9"/>
  <c r="V95" i="9"/>
  <c r="T95" i="9"/>
  <c r="V94" i="9"/>
  <c r="T94" i="9"/>
  <c r="V93" i="9"/>
  <c r="T93" i="9"/>
  <c r="V92" i="9"/>
  <c r="T92" i="9"/>
  <c r="V91" i="9"/>
  <c r="T91" i="9"/>
  <c r="V90" i="9"/>
  <c r="T90" i="9"/>
  <c r="V89" i="9"/>
  <c r="T89" i="9"/>
  <c r="V88" i="9"/>
  <c r="T88" i="9"/>
  <c r="V87" i="9"/>
  <c r="T87" i="9"/>
  <c r="V86" i="9"/>
  <c r="T86" i="9"/>
  <c r="V85" i="9"/>
  <c r="T85" i="9"/>
  <c r="V84" i="9"/>
  <c r="T84" i="9"/>
  <c r="V83" i="9"/>
  <c r="T83" i="9"/>
  <c r="V82" i="9"/>
  <c r="T82" i="9"/>
  <c r="V81" i="9"/>
  <c r="T81" i="9"/>
  <c r="V80" i="9"/>
  <c r="T80" i="9"/>
  <c r="V79" i="9"/>
  <c r="T79" i="9"/>
  <c r="V78" i="9"/>
  <c r="T78" i="9"/>
  <c r="V77" i="9"/>
  <c r="T77" i="9"/>
  <c r="V76" i="9"/>
  <c r="T76" i="9"/>
  <c r="V75" i="9"/>
  <c r="T75" i="9"/>
  <c r="V74" i="9"/>
  <c r="T74" i="9"/>
  <c r="V73" i="9"/>
  <c r="T73" i="9"/>
  <c r="V72" i="9"/>
  <c r="T72" i="9"/>
  <c r="V71" i="9"/>
  <c r="T71" i="9"/>
  <c r="V70" i="9"/>
  <c r="T70" i="9"/>
  <c r="V69" i="9"/>
  <c r="T69" i="9"/>
  <c r="V68" i="9"/>
  <c r="T68" i="9"/>
  <c r="V67" i="9"/>
  <c r="T67" i="9"/>
  <c r="V66" i="9"/>
  <c r="T66" i="9"/>
  <c r="V65" i="9"/>
  <c r="T65" i="9"/>
  <c r="V64" i="9"/>
  <c r="T64" i="9"/>
  <c r="V63" i="9"/>
  <c r="T63" i="9"/>
  <c r="V62" i="9"/>
  <c r="T62" i="9"/>
  <c r="V61" i="9"/>
  <c r="T61" i="9"/>
  <c r="V60" i="9"/>
  <c r="T60" i="9"/>
  <c r="V59" i="9"/>
  <c r="T59" i="9"/>
  <c r="V58" i="9"/>
  <c r="T58" i="9"/>
  <c r="V57" i="9"/>
  <c r="T57" i="9"/>
  <c r="V56" i="9"/>
  <c r="T56" i="9"/>
  <c r="V55" i="9"/>
  <c r="T55" i="9"/>
  <c r="V54" i="9"/>
  <c r="T54" i="9"/>
  <c r="V53" i="9"/>
  <c r="T53" i="9"/>
  <c r="V52" i="9"/>
  <c r="T52" i="9"/>
  <c r="V51" i="9"/>
  <c r="T51" i="9"/>
  <c r="V50" i="9"/>
  <c r="T50" i="9"/>
  <c r="V49" i="9"/>
  <c r="T49" i="9"/>
  <c r="V48" i="9"/>
  <c r="T48" i="9"/>
  <c r="V47" i="9"/>
  <c r="T47" i="9"/>
  <c r="V46" i="9"/>
  <c r="T46" i="9"/>
  <c r="V45" i="9"/>
  <c r="T45" i="9"/>
  <c r="V44" i="9"/>
  <c r="T44" i="9"/>
  <c r="V43" i="9"/>
  <c r="T43" i="9"/>
  <c r="V42" i="9"/>
  <c r="T42" i="9"/>
  <c r="V41" i="9"/>
  <c r="T41" i="9"/>
  <c r="V40" i="9"/>
  <c r="T40" i="9"/>
  <c r="V39" i="9"/>
  <c r="T39" i="9"/>
  <c r="V38" i="9"/>
  <c r="T38" i="9"/>
  <c r="V37" i="9"/>
  <c r="T37" i="9"/>
  <c r="V36" i="9"/>
  <c r="T36" i="9"/>
  <c r="V35" i="9"/>
  <c r="T35" i="9"/>
  <c r="V34" i="9"/>
  <c r="T34" i="9"/>
  <c r="V33" i="9"/>
  <c r="T33" i="9"/>
  <c r="V32" i="9"/>
  <c r="T32" i="9"/>
  <c r="V31" i="9"/>
  <c r="T31" i="9"/>
  <c r="V30" i="9"/>
  <c r="T30" i="9"/>
  <c r="V29" i="9"/>
  <c r="T29" i="9"/>
  <c r="V28" i="9"/>
  <c r="T28" i="9"/>
  <c r="V27" i="9"/>
  <c r="T27" i="9"/>
  <c r="V26" i="9"/>
  <c r="T26" i="9"/>
  <c r="V25" i="9"/>
  <c r="T25" i="9"/>
  <c r="V24" i="9"/>
  <c r="T24" i="9"/>
  <c r="V23" i="9"/>
  <c r="T23" i="9"/>
  <c r="V22" i="9"/>
  <c r="T22" i="9"/>
  <c r="V21" i="9"/>
  <c r="T21" i="9"/>
  <c r="V20" i="9"/>
  <c r="T20" i="9"/>
  <c r="V19" i="9"/>
  <c r="T19" i="9"/>
  <c r="V18" i="9"/>
  <c r="T18" i="9"/>
  <c r="V17" i="9"/>
  <c r="T17" i="9"/>
  <c r="V16" i="9"/>
  <c r="T16" i="9"/>
  <c r="V15" i="9"/>
  <c r="T15" i="9"/>
  <c r="V14" i="9"/>
  <c r="T14" i="9"/>
  <c r="V13" i="9"/>
  <c r="T13" i="9"/>
  <c r="V12" i="9"/>
  <c r="T12" i="9"/>
  <c r="V11" i="9"/>
  <c r="T11" i="9"/>
  <c r="V10" i="9"/>
  <c r="T10" i="9"/>
  <c r="V9" i="9"/>
  <c r="T9" i="9"/>
  <c r="V8" i="9"/>
  <c r="T8" i="9"/>
  <c r="V7" i="9"/>
  <c r="T7" i="9"/>
  <c r="V6" i="9"/>
  <c r="T6" i="9"/>
  <c r="V5" i="9"/>
  <c r="T5" i="9"/>
  <c r="V4" i="9"/>
  <c r="T4" i="9"/>
  <c r="A3" i="9"/>
  <c r="X700" i="6"/>
  <c r="W700" i="6" a="1"/>
  <c r="W700" i="6"/>
  <c r="X699" i="6"/>
  <c r="W699" i="6" a="1"/>
  <c r="W699" i="6"/>
  <c r="X698" i="6"/>
  <c r="W698" i="6" a="1"/>
  <c r="W698" i="6"/>
  <c r="X697" i="6"/>
  <c r="W697" i="6" a="1"/>
  <c r="W697" i="6"/>
  <c r="X696" i="6"/>
  <c r="W696" i="6" a="1"/>
  <c r="W696" i="6"/>
  <c r="X695" i="6"/>
  <c r="W695" i="6" a="1"/>
  <c r="W695" i="6"/>
  <c r="X694" i="6"/>
  <c r="W694" i="6" a="1"/>
  <c r="W694" i="6"/>
  <c r="X693" i="6"/>
  <c r="W693" i="6" a="1"/>
  <c r="W693" i="6"/>
  <c r="X692" i="6"/>
  <c r="W692" i="6" a="1"/>
  <c r="W692" i="6"/>
  <c r="X691" i="6"/>
  <c r="W691" i="6" a="1"/>
  <c r="W691" i="6"/>
  <c r="X690" i="6"/>
  <c r="W690" i="6" a="1"/>
  <c r="W690" i="6"/>
  <c r="X689" i="6"/>
  <c r="W689" i="6" a="1"/>
  <c r="W689" i="6"/>
  <c r="X688" i="6"/>
  <c r="W688" i="6" a="1"/>
  <c r="W688" i="6"/>
  <c r="X687" i="6"/>
  <c r="W687" i="6" a="1"/>
  <c r="W687" i="6"/>
  <c r="X686" i="6"/>
  <c r="W686" i="6" a="1"/>
  <c r="W686" i="6"/>
  <c r="X685" i="6"/>
  <c r="W685" i="6" a="1"/>
  <c r="W685" i="6"/>
  <c r="X684" i="6"/>
  <c r="W684" i="6" a="1"/>
  <c r="W684" i="6"/>
  <c r="X683" i="6"/>
  <c r="W683" i="6" a="1"/>
  <c r="W683" i="6"/>
  <c r="X682" i="6"/>
  <c r="W682" i="6" a="1"/>
  <c r="W682" i="6"/>
  <c r="X681" i="6"/>
  <c r="W681" i="6" a="1"/>
  <c r="W681" i="6"/>
  <c r="X680" i="6"/>
  <c r="W680" i="6" a="1"/>
  <c r="W680" i="6"/>
  <c r="X679" i="6"/>
  <c r="W679" i="6" a="1"/>
  <c r="W679" i="6"/>
  <c r="X678" i="6"/>
  <c r="W678" i="6" a="1"/>
  <c r="W678" i="6"/>
  <c r="X677" i="6"/>
  <c r="W677" i="6" a="1"/>
  <c r="W677" i="6"/>
  <c r="X676" i="6"/>
  <c r="W676" i="6" a="1"/>
  <c r="W676" i="6"/>
  <c r="X675" i="6"/>
  <c r="W675" i="6" a="1"/>
  <c r="W675" i="6"/>
  <c r="X674" i="6"/>
  <c r="W674" i="6" a="1"/>
  <c r="W674" i="6"/>
  <c r="X673" i="6"/>
  <c r="W673" i="6" a="1"/>
  <c r="W673" i="6"/>
  <c r="X672" i="6"/>
  <c r="W672" i="6" a="1"/>
  <c r="W672" i="6"/>
  <c r="X671" i="6"/>
  <c r="W671" i="6" a="1"/>
  <c r="W671" i="6"/>
  <c r="X670" i="6"/>
  <c r="W670" i="6" a="1"/>
  <c r="W670" i="6"/>
  <c r="X669" i="6"/>
  <c r="W669" i="6" a="1"/>
  <c r="W669" i="6"/>
  <c r="X668" i="6"/>
  <c r="W668" i="6" a="1"/>
  <c r="W668" i="6"/>
  <c r="X667" i="6"/>
  <c r="W667" i="6" a="1"/>
  <c r="W667" i="6"/>
  <c r="X666" i="6"/>
  <c r="W666" i="6" a="1"/>
  <c r="W666" i="6"/>
  <c r="X665" i="6"/>
  <c r="W665" i="6" a="1"/>
  <c r="W665" i="6"/>
  <c r="X664" i="6"/>
  <c r="W664" i="6" a="1"/>
  <c r="W664" i="6"/>
  <c r="X663" i="6"/>
  <c r="W663" i="6" a="1"/>
  <c r="W663" i="6"/>
  <c r="X662" i="6"/>
  <c r="W662" i="6" a="1"/>
  <c r="W662" i="6"/>
  <c r="X661" i="6"/>
  <c r="W661" i="6" a="1"/>
  <c r="W661" i="6"/>
  <c r="X660" i="6"/>
  <c r="W660" i="6" a="1"/>
  <c r="W660" i="6"/>
  <c r="X659" i="6"/>
  <c r="W659" i="6" a="1"/>
  <c r="W659" i="6"/>
  <c r="X658" i="6"/>
  <c r="W658" i="6" a="1"/>
  <c r="W658" i="6"/>
  <c r="X657" i="6"/>
  <c r="W657" i="6" a="1"/>
  <c r="W657" i="6"/>
  <c r="X656" i="6"/>
  <c r="W656" i="6" a="1"/>
  <c r="W656" i="6"/>
  <c r="X655" i="6"/>
  <c r="W655" i="6" a="1"/>
  <c r="W655" i="6"/>
  <c r="X654" i="6"/>
  <c r="W654" i="6" a="1"/>
  <c r="W654" i="6"/>
  <c r="X653" i="6"/>
  <c r="W653" i="6" a="1"/>
  <c r="W653" i="6"/>
  <c r="X652" i="6"/>
  <c r="W652" i="6" a="1"/>
  <c r="W652" i="6"/>
  <c r="X651" i="6"/>
  <c r="W651" i="6" a="1"/>
  <c r="W651" i="6"/>
  <c r="X650" i="6"/>
  <c r="W650" i="6" a="1"/>
  <c r="W650" i="6"/>
  <c r="X649" i="6"/>
  <c r="W649" i="6" a="1"/>
  <c r="W649" i="6"/>
  <c r="X648" i="6"/>
  <c r="W648" i="6" a="1"/>
  <c r="W648" i="6"/>
  <c r="X647" i="6"/>
  <c r="W647" i="6" a="1"/>
  <c r="W647" i="6"/>
  <c r="X646" i="6"/>
  <c r="W646" i="6" a="1"/>
  <c r="W646" i="6"/>
  <c r="X645" i="6"/>
  <c r="W645" i="6" a="1"/>
  <c r="W645" i="6"/>
  <c r="X644" i="6"/>
  <c r="W644" i="6" a="1"/>
  <c r="W644" i="6"/>
  <c r="X643" i="6"/>
  <c r="W643" i="6" a="1"/>
  <c r="W643" i="6"/>
  <c r="X642" i="6"/>
  <c r="W642" i="6" a="1"/>
  <c r="W642" i="6"/>
  <c r="X641" i="6"/>
  <c r="W641" i="6" a="1"/>
  <c r="W641" i="6"/>
  <c r="X640" i="6"/>
  <c r="W640" i="6" a="1"/>
  <c r="W640" i="6"/>
  <c r="X639" i="6"/>
  <c r="W639" i="6" a="1"/>
  <c r="W639" i="6"/>
  <c r="X638" i="6"/>
  <c r="W638" i="6" a="1"/>
  <c r="W638" i="6"/>
  <c r="X637" i="6"/>
  <c r="W637" i="6" a="1"/>
  <c r="W637" i="6"/>
  <c r="X636" i="6"/>
  <c r="W636" i="6" a="1"/>
  <c r="W636" i="6"/>
  <c r="X635" i="6"/>
  <c r="W635" i="6" a="1"/>
  <c r="W635" i="6"/>
  <c r="X634" i="6"/>
  <c r="W634" i="6" a="1"/>
  <c r="W634" i="6"/>
  <c r="X633" i="6"/>
  <c r="W633" i="6" a="1"/>
  <c r="W633" i="6"/>
  <c r="X632" i="6"/>
  <c r="W632" i="6" a="1"/>
  <c r="W632" i="6"/>
  <c r="X631" i="6"/>
  <c r="W631" i="6" a="1"/>
  <c r="W631" i="6"/>
  <c r="X630" i="6"/>
  <c r="W630" i="6" a="1"/>
  <c r="W630" i="6"/>
  <c r="X629" i="6"/>
  <c r="W629" i="6" a="1"/>
  <c r="W629" i="6"/>
  <c r="X628" i="6"/>
  <c r="W628" i="6" a="1"/>
  <c r="W628" i="6"/>
  <c r="X627" i="6"/>
  <c r="W627" i="6" a="1"/>
  <c r="W627" i="6"/>
  <c r="X626" i="6"/>
  <c r="W626" i="6" a="1"/>
  <c r="W626" i="6"/>
  <c r="X625" i="6"/>
  <c r="W625" i="6" a="1"/>
  <c r="W625" i="6"/>
  <c r="X624" i="6"/>
  <c r="W624" i="6" a="1"/>
  <c r="W624" i="6"/>
  <c r="X623" i="6"/>
  <c r="W623" i="6" a="1"/>
  <c r="W623" i="6"/>
  <c r="X622" i="6"/>
  <c r="W622" i="6" a="1"/>
  <c r="W622" i="6"/>
  <c r="X621" i="6"/>
  <c r="W621" i="6" a="1"/>
  <c r="W621" i="6"/>
  <c r="X620" i="6"/>
  <c r="W620" i="6" a="1"/>
  <c r="W620" i="6"/>
  <c r="X619" i="6"/>
  <c r="W619" i="6" a="1"/>
  <c r="W619" i="6"/>
  <c r="X618" i="6"/>
  <c r="W618" i="6" a="1"/>
  <c r="W618" i="6"/>
  <c r="X617" i="6"/>
  <c r="W617" i="6" a="1"/>
  <c r="W617" i="6"/>
  <c r="X616" i="6"/>
  <c r="W616" i="6" a="1"/>
  <c r="W616" i="6"/>
  <c r="X615" i="6"/>
  <c r="W615" i="6" a="1"/>
  <c r="W615" i="6"/>
  <c r="X614" i="6"/>
  <c r="W614" i="6" a="1"/>
  <c r="W614" i="6"/>
  <c r="X613" i="6"/>
  <c r="W613" i="6" a="1"/>
  <c r="W613" i="6"/>
  <c r="X612" i="6"/>
  <c r="W612" i="6" a="1"/>
  <c r="W612" i="6"/>
  <c r="X611" i="6"/>
  <c r="W611" i="6" a="1"/>
  <c r="W611" i="6"/>
  <c r="X610" i="6"/>
  <c r="W610" i="6" a="1"/>
  <c r="W610" i="6"/>
  <c r="X609" i="6"/>
  <c r="W609" i="6" a="1"/>
  <c r="W609" i="6"/>
  <c r="X608" i="6"/>
  <c r="W608" i="6" a="1"/>
  <c r="W608" i="6"/>
  <c r="X607" i="6"/>
  <c r="W607" i="6" a="1"/>
  <c r="W607" i="6"/>
  <c r="X606" i="6"/>
  <c r="W606" i="6" a="1"/>
  <c r="W606" i="6"/>
  <c r="X605" i="6"/>
  <c r="W605" i="6" a="1"/>
  <c r="W605" i="6"/>
  <c r="X604" i="6"/>
  <c r="W604" i="6" a="1"/>
  <c r="W604" i="6"/>
  <c r="X603" i="6"/>
  <c r="W603" i="6" a="1"/>
  <c r="W603" i="6"/>
  <c r="X602" i="6"/>
  <c r="W602" i="6" a="1"/>
  <c r="W602" i="6"/>
  <c r="X601" i="6"/>
  <c r="W601" i="6" a="1"/>
  <c r="W601" i="6"/>
  <c r="X600" i="6"/>
  <c r="W600" i="6" a="1"/>
  <c r="W600" i="6"/>
  <c r="X599" i="6"/>
  <c r="W599" i="6" a="1"/>
  <c r="W599" i="6"/>
  <c r="X598" i="6"/>
  <c r="W598" i="6" a="1"/>
  <c r="W598" i="6"/>
  <c r="X597" i="6"/>
  <c r="W597" i="6" a="1"/>
  <c r="W597" i="6"/>
  <c r="X596" i="6"/>
  <c r="W596" i="6" a="1"/>
  <c r="W596" i="6"/>
  <c r="X595" i="6"/>
  <c r="W595" i="6" a="1"/>
  <c r="W595" i="6"/>
  <c r="X594" i="6"/>
  <c r="W594" i="6" a="1"/>
  <c r="W594" i="6"/>
  <c r="X593" i="6"/>
  <c r="W593" i="6" a="1"/>
  <c r="W593" i="6"/>
  <c r="X592" i="6"/>
  <c r="W592" i="6" a="1"/>
  <c r="W592" i="6"/>
  <c r="X591" i="6"/>
  <c r="W591" i="6" a="1"/>
  <c r="W591" i="6"/>
  <c r="X590" i="6"/>
  <c r="W590" i="6" a="1"/>
  <c r="W590" i="6"/>
  <c r="X589" i="6"/>
  <c r="W589" i="6" a="1"/>
  <c r="W589" i="6"/>
  <c r="X588" i="6"/>
  <c r="W588" i="6" a="1"/>
  <c r="W588" i="6"/>
  <c r="X587" i="6"/>
  <c r="W587" i="6" a="1"/>
  <c r="W587" i="6"/>
  <c r="X586" i="6"/>
  <c r="W586" i="6" a="1"/>
  <c r="W586" i="6"/>
  <c r="X585" i="6"/>
  <c r="W585" i="6" a="1"/>
  <c r="W585" i="6"/>
  <c r="X584" i="6"/>
  <c r="W584" i="6" a="1"/>
  <c r="W584" i="6"/>
  <c r="X583" i="6"/>
  <c r="W583" i="6" a="1"/>
  <c r="W583" i="6"/>
  <c r="X582" i="6"/>
  <c r="W582" i="6" a="1"/>
  <c r="W582" i="6"/>
  <c r="X581" i="6"/>
  <c r="W581" i="6" a="1"/>
  <c r="W581" i="6"/>
  <c r="X580" i="6"/>
  <c r="W580" i="6" a="1"/>
  <c r="W580" i="6"/>
  <c r="X579" i="6"/>
  <c r="W579" i="6" a="1"/>
  <c r="W579" i="6"/>
  <c r="X578" i="6"/>
  <c r="W578" i="6" a="1"/>
  <c r="W578" i="6"/>
  <c r="X577" i="6"/>
  <c r="W577" i="6" a="1"/>
  <c r="W577" i="6"/>
  <c r="X576" i="6"/>
  <c r="W576" i="6" a="1"/>
  <c r="W576" i="6"/>
  <c r="X575" i="6"/>
  <c r="W575" i="6" a="1"/>
  <c r="W575" i="6"/>
  <c r="X574" i="6"/>
  <c r="W574" i="6" a="1"/>
  <c r="W574" i="6"/>
  <c r="X573" i="6"/>
  <c r="W573" i="6" a="1"/>
  <c r="W573" i="6"/>
  <c r="X572" i="6"/>
  <c r="W572" i="6" a="1"/>
  <c r="W572" i="6"/>
  <c r="X571" i="6"/>
  <c r="W571" i="6" a="1"/>
  <c r="W571" i="6"/>
  <c r="X570" i="6"/>
  <c r="W570" i="6" a="1"/>
  <c r="W570" i="6"/>
  <c r="X569" i="6"/>
  <c r="W569" i="6" a="1"/>
  <c r="W569" i="6"/>
  <c r="X568" i="6"/>
  <c r="W568" i="6" a="1"/>
  <c r="W568" i="6"/>
  <c r="X567" i="6"/>
  <c r="W567" i="6" a="1"/>
  <c r="W567" i="6"/>
  <c r="X566" i="6"/>
  <c r="W566" i="6" a="1"/>
  <c r="W566" i="6"/>
  <c r="X565" i="6"/>
  <c r="W565" i="6" a="1"/>
  <c r="W565" i="6"/>
  <c r="X564" i="6"/>
  <c r="W564" i="6" a="1"/>
  <c r="W564" i="6"/>
  <c r="X563" i="6"/>
  <c r="W563" i="6" a="1"/>
  <c r="W563" i="6"/>
  <c r="X562" i="6"/>
  <c r="W562" i="6" a="1"/>
  <c r="W562" i="6"/>
  <c r="X561" i="6"/>
  <c r="W561" i="6" a="1"/>
  <c r="W561" i="6"/>
  <c r="X560" i="6"/>
  <c r="W560" i="6" a="1"/>
  <c r="W560" i="6"/>
  <c r="X559" i="6"/>
  <c r="W559" i="6" a="1"/>
  <c r="W559" i="6"/>
  <c r="X558" i="6"/>
  <c r="W558" i="6" a="1"/>
  <c r="W558" i="6"/>
  <c r="X557" i="6"/>
  <c r="W557" i="6" a="1"/>
  <c r="W557" i="6"/>
  <c r="X556" i="6"/>
  <c r="W556" i="6" a="1"/>
  <c r="W556" i="6"/>
  <c r="X555" i="6"/>
  <c r="W555" i="6" a="1"/>
  <c r="W555" i="6"/>
  <c r="X554" i="6"/>
  <c r="W554" i="6" a="1"/>
  <c r="W554" i="6"/>
  <c r="X553" i="6"/>
  <c r="W553" i="6" a="1"/>
  <c r="W553" i="6"/>
  <c r="X552" i="6"/>
  <c r="W552" i="6" a="1"/>
  <c r="W552" i="6"/>
  <c r="X551" i="6"/>
  <c r="W551" i="6" a="1"/>
  <c r="W551" i="6"/>
  <c r="X550" i="6"/>
  <c r="W550" i="6" a="1"/>
  <c r="W550" i="6"/>
  <c r="X549" i="6"/>
  <c r="W549" i="6" a="1"/>
  <c r="W549" i="6"/>
  <c r="X548" i="6"/>
  <c r="W548" i="6" a="1"/>
  <c r="W548" i="6"/>
  <c r="X547" i="6"/>
  <c r="W547" i="6" a="1"/>
  <c r="W547" i="6"/>
  <c r="X546" i="6"/>
  <c r="W546" i="6" a="1"/>
  <c r="W546" i="6"/>
  <c r="X545" i="6"/>
  <c r="W545" i="6" a="1"/>
  <c r="W545" i="6"/>
  <c r="X544" i="6"/>
  <c r="W544" i="6" a="1"/>
  <c r="W544" i="6"/>
  <c r="X543" i="6"/>
  <c r="W543" i="6" a="1"/>
  <c r="W543" i="6"/>
  <c r="X542" i="6"/>
  <c r="W542" i="6" a="1"/>
  <c r="W542" i="6"/>
  <c r="X541" i="6"/>
  <c r="W541" i="6" a="1"/>
  <c r="W541" i="6"/>
  <c r="X540" i="6"/>
  <c r="W540" i="6" a="1"/>
  <c r="W540" i="6"/>
  <c r="X539" i="6"/>
  <c r="W539" i="6" a="1"/>
  <c r="W539" i="6"/>
  <c r="X538" i="6"/>
  <c r="W538" i="6" a="1"/>
  <c r="W538" i="6"/>
  <c r="X537" i="6"/>
  <c r="W537" i="6" a="1"/>
  <c r="W537" i="6"/>
  <c r="X536" i="6"/>
  <c r="W536" i="6" a="1"/>
  <c r="W536" i="6"/>
  <c r="X535" i="6"/>
  <c r="W535" i="6" a="1"/>
  <c r="W535" i="6"/>
  <c r="X534" i="6"/>
  <c r="W534" i="6" a="1"/>
  <c r="W534" i="6"/>
  <c r="X533" i="6"/>
  <c r="W533" i="6" a="1"/>
  <c r="W533" i="6"/>
  <c r="X532" i="6"/>
  <c r="W532" i="6" a="1"/>
  <c r="W532" i="6"/>
  <c r="X531" i="6"/>
  <c r="W531" i="6" a="1"/>
  <c r="W531" i="6"/>
  <c r="X530" i="6"/>
  <c r="W530" i="6" a="1"/>
  <c r="W530" i="6"/>
  <c r="X529" i="6"/>
  <c r="W529" i="6" a="1"/>
  <c r="W529" i="6"/>
  <c r="X528" i="6"/>
  <c r="W528" i="6" a="1"/>
  <c r="W528" i="6"/>
  <c r="X527" i="6"/>
  <c r="W527" i="6" a="1"/>
  <c r="W527" i="6"/>
  <c r="X526" i="6"/>
  <c r="W526" i="6" a="1"/>
  <c r="W526" i="6"/>
  <c r="X525" i="6"/>
  <c r="W525" i="6" a="1"/>
  <c r="W525" i="6"/>
  <c r="X524" i="6"/>
  <c r="W524" i="6" a="1"/>
  <c r="W524" i="6"/>
  <c r="X523" i="6"/>
  <c r="W523" i="6" a="1"/>
  <c r="W523" i="6"/>
  <c r="X522" i="6"/>
  <c r="W522" i="6" a="1"/>
  <c r="W522" i="6"/>
  <c r="X521" i="6"/>
  <c r="W521" i="6" a="1"/>
  <c r="W521" i="6"/>
  <c r="X520" i="6"/>
  <c r="W520" i="6" a="1"/>
  <c r="W520" i="6"/>
  <c r="X519" i="6"/>
  <c r="W519" i="6" a="1"/>
  <c r="W519" i="6"/>
  <c r="X518" i="6"/>
  <c r="W518" i="6" a="1"/>
  <c r="W518" i="6"/>
  <c r="X517" i="6"/>
  <c r="W517" i="6" a="1"/>
  <c r="W517" i="6"/>
  <c r="X516" i="6"/>
  <c r="W516" i="6" a="1"/>
  <c r="W516" i="6"/>
  <c r="X515" i="6"/>
  <c r="W515" i="6" a="1"/>
  <c r="W515" i="6"/>
  <c r="X514" i="6"/>
  <c r="W514" i="6" a="1"/>
  <c r="W514" i="6"/>
  <c r="X513" i="6"/>
  <c r="W513" i="6" a="1"/>
  <c r="W513" i="6"/>
  <c r="X512" i="6"/>
  <c r="W512" i="6" a="1"/>
  <c r="W512" i="6"/>
  <c r="X511" i="6"/>
  <c r="W511" i="6" a="1"/>
  <c r="W511" i="6"/>
  <c r="X510" i="6"/>
  <c r="W510" i="6" a="1"/>
  <c r="W510" i="6"/>
  <c r="X509" i="6"/>
  <c r="W509" i="6" a="1"/>
  <c r="W509" i="6"/>
  <c r="X508" i="6"/>
  <c r="W508" i="6" a="1"/>
  <c r="W508" i="6"/>
  <c r="X507" i="6"/>
  <c r="W507" i="6" a="1"/>
  <c r="W507" i="6"/>
  <c r="X506" i="6"/>
  <c r="W506" i="6" a="1"/>
  <c r="W506" i="6"/>
  <c r="X505" i="6"/>
  <c r="W505" i="6" a="1"/>
  <c r="W505" i="6"/>
  <c r="X504" i="6"/>
  <c r="W504" i="6" a="1"/>
  <c r="W504" i="6"/>
  <c r="X503" i="6"/>
  <c r="W503" i="6" a="1"/>
  <c r="W503" i="6"/>
  <c r="X502" i="6"/>
  <c r="W502" i="6" a="1"/>
  <c r="W502" i="6"/>
  <c r="X501" i="6"/>
  <c r="W501" i="6" a="1"/>
  <c r="W501" i="6"/>
  <c r="X500" i="6"/>
  <c r="W500" i="6" a="1"/>
  <c r="W500" i="6"/>
  <c r="X499" i="6"/>
  <c r="W499" i="6" a="1"/>
  <c r="W499" i="6"/>
  <c r="X498" i="6"/>
  <c r="W498" i="6" a="1"/>
  <c r="W498" i="6"/>
  <c r="X497" i="6"/>
  <c r="W497" i="6" a="1"/>
  <c r="W497" i="6"/>
  <c r="X496" i="6"/>
  <c r="W496" i="6" a="1"/>
  <c r="W496" i="6"/>
  <c r="X495" i="6"/>
  <c r="W495" i="6" a="1"/>
  <c r="W495" i="6"/>
  <c r="X494" i="6"/>
  <c r="W494" i="6" a="1"/>
  <c r="W494" i="6"/>
  <c r="X493" i="6"/>
  <c r="W493" i="6" a="1"/>
  <c r="W493" i="6"/>
  <c r="X492" i="6"/>
  <c r="W492" i="6" a="1"/>
  <c r="W492" i="6"/>
  <c r="X491" i="6"/>
  <c r="W491" i="6" a="1"/>
  <c r="W491" i="6"/>
  <c r="X490" i="6"/>
  <c r="W490" i="6" a="1"/>
  <c r="W490" i="6"/>
  <c r="X489" i="6"/>
  <c r="W489" i="6" a="1"/>
  <c r="W489" i="6"/>
  <c r="X488" i="6"/>
  <c r="W488" i="6" a="1"/>
  <c r="W488" i="6"/>
  <c r="X487" i="6"/>
  <c r="W487" i="6" a="1"/>
  <c r="W487" i="6"/>
  <c r="X486" i="6"/>
  <c r="W486" i="6" a="1"/>
  <c r="W486" i="6"/>
  <c r="X485" i="6"/>
  <c r="W485" i="6" a="1"/>
  <c r="W485" i="6"/>
  <c r="X484" i="6"/>
  <c r="W484" i="6" a="1"/>
  <c r="W484" i="6"/>
  <c r="X483" i="6"/>
  <c r="W483" i="6" a="1"/>
  <c r="W483" i="6"/>
  <c r="X482" i="6"/>
  <c r="W482" i="6" a="1"/>
  <c r="W482" i="6"/>
  <c r="X481" i="6"/>
  <c r="W481" i="6" a="1"/>
  <c r="W481" i="6"/>
  <c r="X480" i="6"/>
  <c r="W480" i="6" a="1"/>
  <c r="W480" i="6"/>
  <c r="X479" i="6"/>
  <c r="W479" i="6" a="1"/>
  <c r="W479" i="6"/>
  <c r="X478" i="6"/>
  <c r="W478" i="6" a="1"/>
  <c r="W478" i="6"/>
  <c r="X477" i="6"/>
  <c r="W477" i="6" a="1"/>
  <c r="W477" i="6"/>
  <c r="X476" i="6"/>
  <c r="W476" i="6" a="1"/>
  <c r="W476" i="6"/>
  <c r="X475" i="6"/>
  <c r="W475" i="6" a="1"/>
  <c r="W475" i="6"/>
  <c r="X474" i="6"/>
  <c r="W474" i="6" a="1"/>
  <c r="W474" i="6"/>
  <c r="X473" i="6"/>
  <c r="W473" i="6" a="1"/>
  <c r="W473" i="6"/>
  <c r="X472" i="6"/>
  <c r="W472" i="6" a="1"/>
  <c r="W472" i="6"/>
  <c r="X471" i="6"/>
  <c r="W471" i="6" a="1"/>
  <c r="W471" i="6"/>
  <c r="X470" i="6"/>
  <c r="W470" i="6" a="1"/>
  <c r="W470" i="6"/>
  <c r="X469" i="6"/>
  <c r="W469" i="6" a="1"/>
  <c r="W469" i="6"/>
  <c r="X468" i="6"/>
  <c r="W468" i="6" a="1"/>
  <c r="W468" i="6"/>
  <c r="X467" i="6"/>
  <c r="W467" i="6" a="1"/>
  <c r="W467" i="6"/>
  <c r="X466" i="6"/>
  <c r="W466" i="6" a="1"/>
  <c r="W466" i="6"/>
  <c r="X465" i="6"/>
  <c r="W465" i="6" a="1"/>
  <c r="W465" i="6"/>
  <c r="X464" i="6"/>
  <c r="W464" i="6" a="1"/>
  <c r="W464" i="6"/>
  <c r="X463" i="6"/>
  <c r="W463" i="6" a="1"/>
  <c r="W463" i="6"/>
  <c r="X462" i="6"/>
  <c r="W462" i="6" a="1"/>
  <c r="W462" i="6"/>
  <c r="X461" i="6"/>
  <c r="W461" i="6" a="1"/>
  <c r="W461" i="6"/>
  <c r="X460" i="6"/>
  <c r="W460" i="6" a="1"/>
  <c r="W460" i="6"/>
  <c r="X459" i="6"/>
  <c r="W459" i="6" a="1"/>
  <c r="W459" i="6"/>
  <c r="X458" i="6"/>
  <c r="W458" i="6" a="1"/>
  <c r="W458" i="6"/>
  <c r="X457" i="6"/>
  <c r="W457" i="6" a="1"/>
  <c r="W457" i="6"/>
  <c r="X456" i="6"/>
  <c r="W456" i="6" a="1"/>
  <c r="W456" i="6"/>
  <c r="X455" i="6"/>
  <c r="W455" i="6" a="1"/>
  <c r="W455" i="6"/>
  <c r="X454" i="6"/>
  <c r="W454" i="6" a="1"/>
  <c r="W454" i="6"/>
  <c r="X453" i="6"/>
  <c r="W453" i="6" a="1"/>
  <c r="W453" i="6"/>
  <c r="X452" i="6"/>
  <c r="W452" i="6" a="1"/>
  <c r="W452" i="6"/>
  <c r="X451" i="6"/>
  <c r="W451" i="6" a="1"/>
  <c r="W451" i="6"/>
  <c r="X450" i="6"/>
  <c r="W450" i="6" a="1"/>
  <c r="W450" i="6"/>
  <c r="X449" i="6"/>
  <c r="W449" i="6" a="1"/>
  <c r="W449" i="6"/>
  <c r="X448" i="6"/>
  <c r="W448" i="6" a="1"/>
  <c r="W448" i="6"/>
  <c r="X447" i="6"/>
  <c r="W447" i="6" a="1"/>
  <c r="W447" i="6"/>
  <c r="X446" i="6"/>
  <c r="W446" i="6" a="1"/>
  <c r="W446" i="6"/>
  <c r="X445" i="6"/>
  <c r="W445" i="6" a="1"/>
  <c r="W445" i="6"/>
  <c r="X444" i="6"/>
  <c r="W444" i="6" a="1"/>
  <c r="W444" i="6"/>
  <c r="X443" i="6"/>
  <c r="W443" i="6" a="1"/>
  <c r="W443" i="6"/>
  <c r="X442" i="6"/>
  <c r="W442" i="6" a="1"/>
  <c r="W442" i="6"/>
  <c r="X441" i="6"/>
  <c r="W441" i="6" a="1"/>
  <c r="W441" i="6"/>
  <c r="X440" i="6"/>
  <c r="W440" i="6" a="1"/>
  <c r="W440" i="6"/>
  <c r="X439" i="6"/>
  <c r="W439" i="6" a="1"/>
  <c r="W439" i="6"/>
  <c r="X438" i="6"/>
  <c r="W438" i="6" a="1"/>
  <c r="W438" i="6"/>
  <c r="X437" i="6"/>
  <c r="W437" i="6" a="1"/>
  <c r="W437" i="6"/>
  <c r="X436" i="6"/>
  <c r="W436" i="6" a="1"/>
  <c r="W436" i="6"/>
  <c r="X435" i="6"/>
  <c r="W435" i="6" a="1"/>
  <c r="W435" i="6"/>
  <c r="X434" i="6"/>
  <c r="W434" i="6" a="1"/>
  <c r="W434" i="6"/>
  <c r="X433" i="6"/>
  <c r="W433" i="6" a="1"/>
  <c r="W433" i="6"/>
  <c r="X432" i="6"/>
  <c r="W432" i="6" a="1"/>
  <c r="W432" i="6"/>
  <c r="X431" i="6"/>
  <c r="W431" i="6" a="1"/>
  <c r="W431" i="6"/>
  <c r="X430" i="6"/>
  <c r="W430" i="6" a="1"/>
  <c r="W430" i="6"/>
  <c r="X429" i="6"/>
  <c r="W429" i="6" a="1"/>
  <c r="W429" i="6"/>
  <c r="X428" i="6"/>
  <c r="W428" i="6" a="1"/>
  <c r="W428" i="6"/>
  <c r="X427" i="6"/>
  <c r="W427" i="6" a="1"/>
  <c r="W427" i="6"/>
  <c r="X426" i="6"/>
  <c r="W426" i="6" a="1"/>
  <c r="W426" i="6"/>
  <c r="X425" i="6"/>
  <c r="W425" i="6" a="1"/>
  <c r="W425" i="6"/>
  <c r="X424" i="6"/>
  <c r="W424" i="6" a="1"/>
  <c r="W424" i="6"/>
  <c r="X423" i="6"/>
  <c r="W423" i="6" a="1"/>
  <c r="W423" i="6"/>
  <c r="X422" i="6"/>
  <c r="W422" i="6" a="1"/>
  <c r="W422" i="6"/>
  <c r="X421" i="6"/>
  <c r="W421" i="6" a="1"/>
  <c r="W421" i="6"/>
  <c r="X420" i="6"/>
  <c r="W420" i="6" a="1"/>
  <c r="W420" i="6"/>
  <c r="X419" i="6"/>
  <c r="W419" i="6" a="1"/>
  <c r="W419" i="6"/>
  <c r="X418" i="6"/>
  <c r="W418" i="6" a="1"/>
  <c r="W418" i="6"/>
  <c r="X417" i="6"/>
  <c r="W417" i="6" a="1"/>
  <c r="W417" i="6"/>
  <c r="X416" i="6"/>
  <c r="W416" i="6" a="1"/>
  <c r="W416" i="6"/>
  <c r="X415" i="6"/>
  <c r="W415" i="6" a="1"/>
  <c r="W415" i="6"/>
  <c r="X414" i="6"/>
  <c r="W414" i="6" a="1"/>
  <c r="W414" i="6"/>
  <c r="X413" i="6"/>
  <c r="W413" i="6" a="1"/>
  <c r="W413" i="6"/>
  <c r="X412" i="6"/>
  <c r="W412" i="6" a="1"/>
  <c r="W412" i="6"/>
  <c r="X411" i="6"/>
  <c r="W411" i="6" a="1"/>
  <c r="W411" i="6"/>
  <c r="X410" i="6"/>
  <c r="W410" i="6" a="1"/>
  <c r="W410" i="6"/>
  <c r="X409" i="6"/>
  <c r="W409" i="6" a="1"/>
  <c r="W409" i="6"/>
  <c r="X408" i="6"/>
  <c r="W408" i="6" a="1"/>
  <c r="W408" i="6"/>
  <c r="X407" i="6"/>
  <c r="W407" i="6" a="1"/>
  <c r="W407" i="6"/>
  <c r="X406" i="6"/>
  <c r="W406" i="6" a="1"/>
  <c r="W406" i="6"/>
  <c r="X405" i="6"/>
  <c r="W405" i="6" a="1"/>
  <c r="W405" i="6"/>
  <c r="X404" i="6"/>
  <c r="W404" i="6" a="1"/>
  <c r="W404" i="6"/>
  <c r="X403" i="6"/>
  <c r="W403" i="6" a="1"/>
  <c r="W403" i="6"/>
  <c r="X402" i="6"/>
  <c r="W402" i="6" a="1"/>
  <c r="W402" i="6"/>
  <c r="X401" i="6"/>
  <c r="W401" i="6" a="1"/>
  <c r="W401" i="6"/>
  <c r="X400" i="6"/>
  <c r="W400" i="6" a="1"/>
  <c r="W400" i="6"/>
  <c r="X399" i="6"/>
  <c r="W399" i="6" a="1"/>
  <c r="W399" i="6"/>
  <c r="X398" i="6"/>
  <c r="W398" i="6" a="1"/>
  <c r="W398" i="6"/>
  <c r="X397" i="6"/>
  <c r="W397" i="6" a="1"/>
  <c r="W397" i="6"/>
  <c r="X396" i="6"/>
  <c r="W396" i="6" a="1"/>
  <c r="W396" i="6"/>
  <c r="X395" i="6"/>
  <c r="W395" i="6" a="1"/>
  <c r="W395" i="6"/>
  <c r="X394" i="6"/>
  <c r="W394" i="6" a="1"/>
  <c r="W394" i="6"/>
  <c r="X393" i="6"/>
  <c r="W393" i="6" a="1"/>
  <c r="W393" i="6"/>
  <c r="X392" i="6"/>
  <c r="W392" i="6" a="1"/>
  <c r="W392" i="6"/>
  <c r="X391" i="6"/>
  <c r="W391" i="6" a="1"/>
  <c r="W391" i="6"/>
  <c r="X390" i="6"/>
  <c r="W390" i="6" a="1"/>
  <c r="W390" i="6"/>
  <c r="X389" i="6"/>
  <c r="W389" i="6" a="1"/>
  <c r="W389" i="6"/>
  <c r="X388" i="6"/>
  <c r="W388" i="6" a="1"/>
  <c r="W388" i="6"/>
  <c r="X387" i="6"/>
  <c r="W387" i="6" a="1"/>
  <c r="W387" i="6"/>
  <c r="X386" i="6"/>
  <c r="W386" i="6" a="1"/>
  <c r="W386" i="6"/>
  <c r="X385" i="6"/>
  <c r="W385" i="6" a="1"/>
  <c r="W385" i="6"/>
  <c r="X384" i="6"/>
  <c r="W384" i="6" a="1"/>
  <c r="W384" i="6"/>
  <c r="X383" i="6"/>
  <c r="W383" i="6" a="1"/>
  <c r="W383" i="6"/>
  <c r="X382" i="6"/>
  <c r="W382" i="6" a="1"/>
  <c r="W382" i="6"/>
  <c r="X381" i="6"/>
  <c r="W381" i="6" a="1"/>
  <c r="W381" i="6"/>
  <c r="X380" i="6"/>
  <c r="W380" i="6" a="1"/>
  <c r="W380" i="6"/>
  <c r="X379" i="6"/>
  <c r="W379" i="6" a="1"/>
  <c r="W379" i="6"/>
  <c r="X378" i="6"/>
  <c r="W378" i="6" a="1"/>
  <c r="W378" i="6"/>
  <c r="X377" i="6"/>
  <c r="W377" i="6" a="1"/>
  <c r="W377" i="6"/>
  <c r="X376" i="6"/>
  <c r="W376" i="6" a="1"/>
  <c r="W376" i="6"/>
  <c r="X375" i="6"/>
  <c r="W375" i="6" a="1"/>
  <c r="W375" i="6"/>
  <c r="X374" i="6"/>
  <c r="W374" i="6" a="1"/>
  <c r="W374" i="6"/>
  <c r="X373" i="6"/>
  <c r="W373" i="6" a="1"/>
  <c r="W373" i="6"/>
  <c r="X372" i="6"/>
  <c r="W372" i="6" a="1"/>
  <c r="W372" i="6"/>
  <c r="X371" i="6"/>
  <c r="W371" i="6" a="1"/>
  <c r="W371" i="6"/>
  <c r="X370" i="6"/>
  <c r="W370" i="6" a="1"/>
  <c r="W370" i="6"/>
  <c r="X369" i="6"/>
  <c r="W369" i="6" a="1"/>
  <c r="W369" i="6"/>
  <c r="X368" i="6"/>
  <c r="W368" i="6" a="1"/>
  <c r="W368" i="6"/>
  <c r="X367" i="6"/>
  <c r="W367" i="6" a="1"/>
  <c r="W367" i="6"/>
  <c r="X366" i="6"/>
  <c r="W366" i="6" a="1"/>
  <c r="W366" i="6"/>
  <c r="X365" i="6"/>
  <c r="W365" i="6" a="1"/>
  <c r="W365" i="6"/>
  <c r="X364" i="6"/>
  <c r="W364" i="6" a="1"/>
  <c r="W364" i="6"/>
  <c r="X363" i="6"/>
  <c r="W363" i="6" a="1"/>
  <c r="W363" i="6"/>
  <c r="X362" i="6"/>
  <c r="W362" i="6" a="1"/>
  <c r="W362" i="6"/>
  <c r="X361" i="6"/>
  <c r="W361" i="6" a="1"/>
  <c r="W361" i="6"/>
  <c r="X360" i="6"/>
  <c r="W360" i="6" a="1"/>
  <c r="W360" i="6"/>
  <c r="X359" i="6"/>
  <c r="W359" i="6" a="1"/>
  <c r="W359" i="6"/>
  <c r="X358" i="6"/>
  <c r="W358" i="6" a="1"/>
  <c r="W358" i="6"/>
  <c r="X357" i="6"/>
  <c r="W357" i="6" a="1"/>
  <c r="W357" i="6"/>
  <c r="X356" i="6"/>
  <c r="W356" i="6" a="1"/>
  <c r="W356" i="6"/>
  <c r="X355" i="6"/>
  <c r="W355" i="6" a="1"/>
  <c r="W355" i="6"/>
  <c r="X354" i="6"/>
  <c r="W354" i="6" a="1"/>
  <c r="W354" i="6"/>
  <c r="X353" i="6"/>
  <c r="W353" i="6" a="1"/>
  <c r="W353" i="6"/>
  <c r="X352" i="6"/>
  <c r="W352" i="6" a="1"/>
  <c r="W352" i="6"/>
  <c r="X351" i="6"/>
  <c r="W351" i="6" a="1"/>
  <c r="W351" i="6"/>
  <c r="X350" i="6"/>
  <c r="W350" i="6" a="1"/>
  <c r="W350" i="6"/>
  <c r="X349" i="6"/>
  <c r="W349" i="6" a="1"/>
  <c r="W349" i="6"/>
  <c r="X348" i="6"/>
  <c r="W348" i="6" a="1"/>
  <c r="W348" i="6"/>
  <c r="X347" i="6"/>
  <c r="W347" i="6" a="1"/>
  <c r="W347" i="6"/>
  <c r="X346" i="6"/>
  <c r="W346" i="6" a="1"/>
  <c r="W346" i="6"/>
  <c r="X345" i="6"/>
  <c r="W345" i="6" a="1"/>
  <c r="W345" i="6"/>
  <c r="X344" i="6"/>
  <c r="W344" i="6" a="1"/>
  <c r="W344" i="6"/>
  <c r="X343" i="6"/>
  <c r="W343" i="6" a="1"/>
  <c r="W343" i="6"/>
  <c r="X342" i="6"/>
  <c r="W342" i="6" a="1"/>
  <c r="W342" i="6"/>
  <c r="X341" i="6"/>
  <c r="W341" i="6" a="1"/>
  <c r="W341" i="6"/>
  <c r="X340" i="6"/>
  <c r="W340" i="6" a="1"/>
  <c r="W340" i="6"/>
  <c r="X339" i="6"/>
  <c r="W339" i="6" a="1"/>
  <c r="W339" i="6"/>
  <c r="X338" i="6"/>
  <c r="W338" i="6" a="1"/>
  <c r="W338" i="6"/>
  <c r="X337" i="6"/>
  <c r="W337" i="6" a="1"/>
  <c r="W337" i="6"/>
  <c r="X336" i="6"/>
  <c r="W336" i="6" a="1"/>
  <c r="W336" i="6"/>
  <c r="X335" i="6"/>
  <c r="W335" i="6" a="1"/>
  <c r="W335" i="6"/>
  <c r="X334" i="6"/>
  <c r="W334" i="6" a="1"/>
  <c r="W334" i="6"/>
  <c r="X333" i="6"/>
  <c r="W333" i="6" a="1"/>
  <c r="W333" i="6"/>
  <c r="X332" i="6"/>
  <c r="W332" i="6" a="1"/>
  <c r="W332" i="6"/>
  <c r="X331" i="6"/>
  <c r="W331" i="6" a="1"/>
  <c r="W331" i="6"/>
  <c r="X330" i="6"/>
  <c r="W330" i="6" a="1"/>
  <c r="W330" i="6"/>
  <c r="X329" i="6"/>
  <c r="W329" i="6" a="1"/>
  <c r="W329" i="6"/>
  <c r="X328" i="6"/>
  <c r="W328" i="6" a="1"/>
  <c r="W328" i="6"/>
  <c r="X327" i="6"/>
  <c r="W327" i="6" a="1"/>
  <c r="W327" i="6"/>
  <c r="X326" i="6"/>
  <c r="W326" i="6" a="1"/>
  <c r="W326" i="6"/>
  <c r="X325" i="6"/>
  <c r="W325" i="6" a="1"/>
  <c r="W325" i="6"/>
  <c r="X324" i="6"/>
  <c r="W324" i="6" a="1"/>
  <c r="W324" i="6"/>
  <c r="X323" i="6"/>
  <c r="W323" i="6" a="1"/>
  <c r="W323" i="6"/>
  <c r="X322" i="6"/>
  <c r="W322" i="6" a="1"/>
  <c r="W322" i="6"/>
  <c r="X321" i="6"/>
  <c r="W321" i="6" a="1"/>
  <c r="W321" i="6"/>
  <c r="X320" i="6"/>
  <c r="W320" i="6" a="1"/>
  <c r="W320" i="6"/>
  <c r="X319" i="6"/>
  <c r="W319" i="6" a="1"/>
  <c r="W319" i="6"/>
  <c r="X318" i="6"/>
  <c r="W318" i="6" a="1"/>
  <c r="W318" i="6"/>
  <c r="X317" i="6"/>
  <c r="W317" i="6" a="1"/>
  <c r="W317" i="6"/>
  <c r="X316" i="6"/>
  <c r="W316" i="6" a="1"/>
  <c r="W316" i="6"/>
  <c r="X315" i="6"/>
  <c r="W315" i="6" a="1"/>
  <c r="W315" i="6"/>
  <c r="X314" i="6"/>
  <c r="W314" i="6" a="1"/>
  <c r="W314" i="6"/>
  <c r="X313" i="6"/>
  <c r="W313" i="6" a="1"/>
  <c r="W313" i="6"/>
  <c r="X312" i="6"/>
  <c r="W312" i="6" a="1"/>
  <c r="W312" i="6"/>
  <c r="X311" i="6"/>
  <c r="W311" i="6" a="1"/>
  <c r="W311" i="6"/>
  <c r="X310" i="6"/>
  <c r="W310" i="6" a="1"/>
  <c r="W310" i="6"/>
  <c r="X309" i="6"/>
  <c r="W309" i="6" a="1"/>
  <c r="W309" i="6"/>
  <c r="X308" i="6"/>
  <c r="W308" i="6" a="1"/>
  <c r="W308" i="6"/>
  <c r="X307" i="6"/>
  <c r="W307" i="6" a="1"/>
  <c r="W307" i="6"/>
  <c r="X306" i="6"/>
  <c r="W306" i="6" a="1"/>
  <c r="W306" i="6"/>
  <c r="X305" i="6"/>
  <c r="W305" i="6" a="1"/>
  <c r="W305" i="6"/>
  <c r="X304" i="6"/>
  <c r="W304" i="6" a="1"/>
  <c r="W304" i="6"/>
  <c r="X303" i="6"/>
  <c r="W303" i="6" a="1"/>
  <c r="W303" i="6"/>
  <c r="X302" i="6"/>
  <c r="W302" i="6" a="1"/>
  <c r="W302" i="6"/>
  <c r="X301" i="6"/>
  <c r="W301" i="6" a="1"/>
  <c r="W301" i="6"/>
  <c r="X300" i="6"/>
  <c r="W300" i="6" a="1"/>
  <c r="W300" i="6"/>
  <c r="X299" i="6"/>
  <c r="W299" i="6" a="1"/>
  <c r="W299" i="6"/>
  <c r="X298" i="6"/>
  <c r="W298" i="6" a="1"/>
  <c r="W298" i="6"/>
  <c r="X297" i="6"/>
  <c r="W297" i="6" a="1"/>
  <c r="W297" i="6"/>
  <c r="X296" i="6"/>
  <c r="W296" i="6" a="1"/>
  <c r="W296" i="6"/>
  <c r="X295" i="6"/>
  <c r="W295" i="6" a="1"/>
  <c r="W295" i="6"/>
  <c r="X294" i="6"/>
  <c r="W294" i="6" a="1"/>
  <c r="W294" i="6"/>
  <c r="X293" i="6"/>
  <c r="W293" i="6" a="1"/>
  <c r="W293" i="6"/>
  <c r="X292" i="6"/>
  <c r="W292" i="6" a="1"/>
  <c r="W292" i="6"/>
  <c r="X291" i="6"/>
  <c r="W291" i="6" a="1"/>
  <c r="W291" i="6"/>
  <c r="X290" i="6"/>
  <c r="W290" i="6" a="1"/>
  <c r="W290" i="6"/>
  <c r="X289" i="6"/>
  <c r="W289" i="6" a="1"/>
  <c r="W289" i="6"/>
  <c r="X288" i="6"/>
  <c r="W288" i="6" a="1"/>
  <c r="W288" i="6"/>
  <c r="X287" i="6"/>
  <c r="W287" i="6" a="1"/>
  <c r="W287" i="6"/>
  <c r="X286" i="6"/>
  <c r="W286" i="6" a="1"/>
  <c r="W286" i="6"/>
  <c r="X285" i="6"/>
  <c r="W285" i="6" a="1"/>
  <c r="W285" i="6"/>
  <c r="X284" i="6"/>
  <c r="W284" i="6" a="1"/>
  <c r="W284" i="6"/>
  <c r="X283" i="6"/>
  <c r="W283" i="6" a="1"/>
  <c r="W283" i="6"/>
  <c r="X282" i="6"/>
  <c r="W282" i="6" a="1"/>
  <c r="W282" i="6"/>
  <c r="X281" i="6"/>
  <c r="W281" i="6" a="1"/>
  <c r="W281" i="6"/>
  <c r="X280" i="6"/>
  <c r="W280" i="6" a="1"/>
  <c r="W280" i="6"/>
  <c r="X279" i="6"/>
  <c r="W279" i="6" a="1"/>
  <c r="W279" i="6"/>
  <c r="X278" i="6"/>
  <c r="W278" i="6" a="1"/>
  <c r="W278" i="6"/>
  <c r="X277" i="6"/>
  <c r="W277" i="6" a="1"/>
  <c r="W277" i="6"/>
  <c r="X276" i="6"/>
  <c r="W276" i="6" a="1"/>
  <c r="W276" i="6"/>
  <c r="X275" i="6"/>
  <c r="W275" i="6" a="1"/>
  <c r="W275" i="6"/>
  <c r="X274" i="6"/>
  <c r="W274" i="6" a="1"/>
  <c r="W274" i="6"/>
  <c r="X273" i="6"/>
  <c r="W273" i="6" a="1"/>
  <c r="W273" i="6"/>
  <c r="X272" i="6"/>
  <c r="W272" i="6" a="1"/>
  <c r="W272" i="6"/>
  <c r="X271" i="6"/>
  <c r="W271" i="6" a="1"/>
  <c r="W271" i="6"/>
  <c r="X270" i="6"/>
  <c r="W270" i="6" a="1"/>
  <c r="W270" i="6"/>
  <c r="X269" i="6"/>
  <c r="W269" i="6" a="1"/>
  <c r="W269" i="6"/>
  <c r="X268" i="6"/>
  <c r="W268" i="6" a="1"/>
  <c r="W268" i="6"/>
  <c r="X267" i="6"/>
  <c r="W267" i="6" a="1"/>
  <c r="W267" i="6"/>
  <c r="X266" i="6"/>
  <c r="W266" i="6" a="1"/>
  <c r="W266" i="6"/>
  <c r="X265" i="6"/>
  <c r="W265" i="6" a="1"/>
  <c r="W265" i="6"/>
  <c r="X264" i="6"/>
  <c r="W264" i="6" a="1"/>
  <c r="W264" i="6"/>
  <c r="X263" i="6"/>
  <c r="W263" i="6" a="1"/>
  <c r="W263" i="6"/>
  <c r="X262" i="6"/>
  <c r="W262" i="6" a="1"/>
  <c r="W262" i="6"/>
  <c r="X261" i="6"/>
  <c r="W261" i="6" a="1"/>
  <c r="W261" i="6"/>
  <c r="X260" i="6"/>
  <c r="W260" i="6" a="1"/>
  <c r="W260" i="6"/>
  <c r="X259" i="6"/>
  <c r="W259" i="6" a="1"/>
  <c r="W259" i="6"/>
  <c r="X258" i="6"/>
  <c r="W258" i="6" a="1"/>
  <c r="W258" i="6"/>
  <c r="X257" i="6"/>
  <c r="W257" i="6" a="1"/>
  <c r="W257" i="6"/>
  <c r="X256" i="6"/>
  <c r="W256" i="6" a="1"/>
  <c r="W256" i="6"/>
  <c r="X255" i="6"/>
  <c r="W255" i="6" a="1"/>
  <c r="W255" i="6"/>
  <c r="X254" i="6"/>
  <c r="W254" i="6" a="1"/>
  <c r="W254" i="6"/>
  <c r="X253" i="6"/>
  <c r="W253" i="6" a="1"/>
  <c r="W253" i="6"/>
  <c r="X252" i="6"/>
  <c r="W252" i="6" a="1"/>
  <c r="W252" i="6"/>
  <c r="X251" i="6"/>
  <c r="W251" i="6" a="1"/>
  <c r="W251" i="6"/>
  <c r="X250" i="6"/>
  <c r="W250" i="6" a="1"/>
  <c r="W250" i="6"/>
  <c r="X249" i="6"/>
  <c r="W249" i="6" a="1"/>
  <c r="W249" i="6"/>
  <c r="X248" i="6"/>
  <c r="W248" i="6" a="1"/>
  <c r="W248" i="6"/>
  <c r="X247" i="6"/>
  <c r="W247" i="6" a="1"/>
  <c r="W247" i="6"/>
  <c r="X246" i="6"/>
  <c r="W246" i="6" a="1"/>
  <c r="W246" i="6"/>
  <c r="X245" i="6"/>
  <c r="W245" i="6" a="1"/>
  <c r="W245" i="6"/>
  <c r="X244" i="6"/>
  <c r="W244" i="6" a="1"/>
  <c r="W244" i="6"/>
  <c r="X243" i="6"/>
  <c r="W243" i="6" a="1"/>
  <c r="W243" i="6"/>
  <c r="X242" i="6"/>
  <c r="W242" i="6" a="1"/>
  <c r="W242" i="6"/>
  <c r="X241" i="6"/>
  <c r="W241" i="6" a="1"/>
  <c r="W241" i="6"/>
  <c r="X240" i="6"/>
  <c r="W240" i="6" a="1"/>
  <c r="W240" i="6"/>
  <c r="X239" i="6"/>
  <c r="W239" i="6" a="1"/>
  <c r="W239" i="6"/>
  <c r="X238" i="6"/>
  <c r="W238" i="6" a="1"/>
  <c r="W238" i="6"/>
  <c r="X237" i="6"/>
  <c r="W237" i="6" a="1"/>
  <c r="W237" i="6"/>
  <c r="X236" i="6"/>
  <c r="W236" i="6" a="1"/>
  <c r="W236" i="6"/>
  <c r="X235" i="6"/>
  <c r="W235" i="6" a="1"/>
  <c r="W235" i="6"/>
  <c r="X234" i="6"/>
  <c r="W234" i="6" a="1"/>
  <c r="W234" i="6"/>
  <c r="X233" i="6"/>
  <c r="W233" i="6" a="1"/>
  <c r="W233" i="6"/>
  <c r="X232" i="6"/>
  <c r="W232" i="6" a="1"/>
  <c r="W232" i="6"/>
  <c r="X231" i="6"/>
  <c r="W231" i="6" a="1"/>
  <c r="W231" i="6"/>
  <c r="X230" i="6"/>
  <c r="W230" i="6" a="1"/>
  <c r="W230" i="6"/>
  <c r="X229" i="6"/>
  <c r="W229" i="6" a="1"/>
  <c r="W229" i="6"/>
  <c r="X228" i="6"/>
  <c r="W228" i="6" a="1"/>
  <c r="W228" i="6"/>
  <c r="X227" i="6"/>
  <c r="W227" i="6" a="1"/>
  <c r="W227" i="6"/>
  <c r="X226" i="6"/>
  <c r="W226" i="6" a="1"/>
  <c r="W226" i="6"/>
  <c r="X225" i="6"/>
  <c r="W225" i="6" a="1"/>
  <c r="W225" i="6"/>
  <c r="X224" i="6"/>
  <c r="W224" i="6" a="1"/>
  <c r="W224" i="6"/>
  <c r="X223" i="6"/>
  <c r="W223" i="6" a="1"/>
  <c r="W223" i="6"/>
  <c r="X222" i="6"/>
  <c r="W222" i="6" a="1"/>
  <c r="W222" i="6"/>
  <c r="X221" i="6"/>
  <c r="W221" i="6" a="1"/>
  <c r="W221" i="6"/>
  <c r="X220" i="6"/>
  <c r="W220" i="6" a="1"/>
  <c r="W220" i="6"/>
  <c r="X219" i="6"/>
  <c r="W219" i="6" a="1"/>
  <c r="W219" i="6"/>
  <c r="X218" i="6"/>
  <c r="W218" i="6" a="1"/>
  <c r="W218" i="6"/>
  <c r="X217" i="6"/>
  <c r="W217" i="6" a="1"/>
  <c r="W217" i="6"/>
  <c r="X216" i="6"/>
  <c r="W216" i="6" a="1"/>
  <c r="W216" i="6"/>
  <c r="X215" i="6"/>
  <c r="W215" i="6" a="1"/>
  <c r="W215" i="6"/>
  <c r="X214" i="6"/>
  <c r="W214" i="6" a="1"/>
  <c r="W214" i="6"/>
  <c r="X213" i="6"/>
  <c r="W213" i="6" a="1"/>
  <c r="W213" i="6"/>
  <c r="X212" i="6"/>
  <c r="W212" i="6" a="1"/>
  <c r="W212" i="6"/>
  <c r="X211" i="6"/>
  <c r="W211" i="6" a="1"/>
  <c r="W211" i="6"/>
  <c r="X210" i="6"/>
  <c r="W210" i="6" a="1"/>
  <c r="W210" i="6"/>
  <c r="X209" i="6"/>
  <c r="W209" i="6" a="1"/>
  <c r="W209" i="6"/>
  <c r="X208" i="6"/>
  <c r="W208" i="6" a="1"/>
  <c r="W208" i="6"/>
  <c r="X207" i="6"/>
  <c r="W207" i="6" a="1"/>
  <c r="W207" i="6"/>
  <c r="X206" i="6"/>
  <c r="W206" i="6" a="1"/>
  <c r="W206" i="6"/>
  <c r="X205" i="6"/>
  <c r="W205" i="6" a="1"/>
  <c r="W205" i="6"/>
  <c r="X204" i="6"/>
  <c r="W204" i="6" a="1"/>
  <c r="W204" i="6"/>
  <c r="X203" i="6"/>
  <c r="W203" i="6" a="1"/>
  <c r="W203" i="6"/>
  <c r="X202" i="6"/>
  <c r="W202" i="6" a="1"/>
  <c r="W202" i="6"/>
  <c r="X201" i="6"/>
  <c r="W201" i="6" a="1"/>
  <c r="W201" i="6"/>
  <c r="X200" i="6"/>
  <c r="W200" i="6" a="1"/>
  <c r="W200" i="6"/>
  <c r="X199" i="6"/>
  <c r="W199" i="6" a="1"/>
  <c r="W199" i="6"/>
  <c r="X198" i="6"/>
  <c r="W198" i="6" a="1"/>
  <c r="W198" i="6"/>
  <c r="X197" i="6"/>
  <c r="W197" i="6" a="1"/>
  <c r="W197" i="6"/>
  <c r="X196" i="6"/>
  <c r="W196" i="6" a="1"/>
  <c r="W196" i="6"/>
  <c r="X195" i="6"/>
  <c r="W195" i="6" a="1"/>
  <c r="W195" i="6"/>
  <c r="X194" i="6"/>
  <c r="W194" i="6" a="1"/>
  <c r="W194" i="6"/>
  <c r="X193" i="6"/>
  <c r="W193" i="6" a="1"/>
  <c r="W193" i="6"/>
  <c r="X192" i="6"/>
  <c r="W192" i="6" a="1"/>
  <c r="W192" i="6"/>
  <c r="X191" i="6"/>
  <c r="W191" i="6" a="1"/>
  <c r="W191" i="6"/>
  <c r="X190" i="6"/>
  <c r="W190" i="6" a="1"/>
  <c r="W190" i="6"/>
  <c r="X189" i="6"/>
  <c r="W189" i="6" a="1"/>
  <c r="W189" i="6"/>
  <c r="X188" i="6"/>
  <c r="W188" i="6" a="1"/>
  <c r="W188" i="6"/>
  <c r="X187" i="6"/>
  <c r="W187" i="6" a="1"/>
  <c r="W187" i="6"/>
  <c r="X186" i="6"/>
  <c r="W186" i="6" a="1"/>
  <c r="W186" i="6"/>
  <c r="X185" i="6"/>
  <c r="W185" i="6" a="1"/>
  <c r="W185" i="6"/>
  <c r="X184" i="6"/>
  <c r="W184" i="6" a="1"/>
  <c r="W184" i="6"/>
  <c r="X183" i="6"/>
  <c r="W183" i="6" a="1"/>
  <c r="W183" i="6"/>
  <c r="X182" i="6"/>
  <c r="W182" i="6" a="1"/>
  <c r="W182" i="6"/>
  <c r="X181" i="6"/>
  <c r="W181" i="6" a="1"/>
  <c r="W181" i="6"/>
  <c r="X180" i="6"/>
  <c r="W180" i="6" a="1"/>
  <c r="W180" i="6"/>
  <c r="X179" i="6"/>
  <c r="W179" i="6" a="1"/>
  <c r="W179" i="6"/>
  <c r="X178" i="6"/>
  <c r="W178" i="6" a="1"/>
  <c r="W178" i="6"/>
  <c r="X177" i="6"/>
  <c r="W177" i="6" a="1"/>
  <c r="W177" i="6"/>
  <c r="X176" i="6"/>
  <c r="W176" i="6" a="1"/>
  <c r="W176" i="6"/>
  <c r="X175" i="6"/>
  <c r="W175" i="6" a="1"/>
  <c r="W175" i="6"/>
  <c r="X174" i="6"/>
  <c r="W174" i="6" a="1"/>
  <c r="W174" i="6"/>
  <c r="X173" i="6"/>
  <c r="W173" i="6" a="1"/>
  <c r="W173" i="6"/>
  <c r="X172" i="6"/>
  <c r="W172" i="6" a="1"/>
  <c r="W172" i="6"/>
  <c r="X171" i="6"/>
  <c r="W171" i="6" a="1"/>
  <c r="W171" i="6"/>
  <c r="X170" i="6"/>
  <c r="W170" i="6" a="1"/>
  <c r="W170" i="6"/>
  <c r="X169" i="6"/>
  <c r="W169" i="6" a="1"/>
  <c r="W169" i="6"/>
  <c r="X168" i="6"/>
  <c r="W168" i="6" a="1"/>
  <c r="W168" i="6"/>
  <c r="X167" i="6"/>
  <c r="W167" i="6" a="1"/>
  <c r="W167" i="6"/>
  <c r="X166" i="6"/>
  <c r="W166" i="6" a="1"/>
  <c r="W166" i="6"/>
  <c r="X165" i="6"/>
  <c r="W165" i="6" a="1"/>
  <c r="W165" i="6"/>
  <c r="X164" i="6"/>
  <c r="W164" i="6" a="1"/>
  <c r="W164" i="6"/>
  <c r="X163" i="6"/>
  <c r="W163" i="6" a="1"/>
  <c r="W163" i="6"/>
  <c r="X162" i="6"/>
  <c r="W162" i="6" a="1"/>
  <c r="W162" i="6"/>
  <c r="X161" i="6"/>
  <c r="W161" i="6" a="1"/>
  <c r="W161" i="6"/>
  <c r="X160" i="6"/>
  <c r="W160" i="6" a="1"/>
  <c r="W160" i="6"/>
  <c r="X159" i="6"/>
  <c r="W159" i="6" a="1"/>
  <c r="W159" i="6"/>
  <c r="X158" i="6"/>
  <c r="W158" i="6" a="1"/>
  <c r="W158" i="6"/>
  <c r="X157" i="6"/>
  <c r="W157" i="6" a="1"/>
  <c r="W157" i="6"/>
  <c r="X156" i="6"/>
  <c r="W156" i="6" a="1"/>
  <c r="W156" i="6"/>
  <c r="X155" i="6"/>
  <c r="W155" i="6" a="1"/>
  <c r="W155" i="6"/>
  <c r="X154" i="6"/>
  <c r="W154" i="6" a="1"/>
  <c r="W154" i="6"/>
  <c r="X153" i="6"/>
  <c r="W153" i="6" a="1"/>
  <c r="W153" i="6"/>
  <c r="X152" i="6"/>
  <c r="W152" i="6" a="1"/>
  <c r="W152" i="6"/>
  <c r="X151" i="6"/>
  <c r="W151" i="6" a="1"/>
  <c r="W151" i="6"/>
  <c r="X150" i="6"/>
  <c r="W150" i="6" a="1"/>
  <c r="W150" i="6"/>
  <c r="X149" i="6"/>
  <c r="W149" i="6" a="1"/>
  <c r="W149" i="6"/>
  <c r="X148" i="6"/>
  <c r="W148" i="6" a="1"/>
  <c r="W148" i="6"/>
  <c r="X147" i="6"/>
  <c r="W147" i="6" a="1"/>
  <c r="W147" i="6"/>
  <c r="X146" i="6"/>
  <c r="W146" i="6" a="1"/>
  <c r="W146" i="6"/>
  <c r="X145" i="6"/>
  <c r="W145" i="6" a="1"/>
  <c r="W145" i="6"/>
  <c r="X144" i="6"/>
  <c r="W144" i="6" a="1"/>
  <c r="W144" i="6"/>
  <c r="X143" i="6"/>
  <c r="W143" i="6" a="1"/>
  <c r="W143" i="6"/>
  <c r="X142" i="6"/>
  <c r="W142" i="6" a="1"/>
  <c r="W142" i="6"/>
  <c r="X141" i="6"/>
  <c r="W141" i="6" a="1"/>
  <c r="W141" i="6"/>
  <c r="X140" i="6"/>
  <c r="W140" i="6" a="1"/>
  <c r="W140" i="6"/>
  <c r="X139" i="6"/>
  <c r="W139" i="6" a="1"/>
  <c r="W139" i="6"/>
  <c r="X138" i="6"/>
  <c r="W138" i="6" a="1"/>
  <c r="W138" i="6"/>
  <c r="X137" i="6"/>
  <c r="W137" i="6" a="1"/>
  <c r="W137" i="6"/>
  <c r="X136" i="6"/>
  <c r="W136" i="6" a="1"/>
  <c r="W136" i="6"/>
  <c r="X135" i="6"/>
  <c r="W135" i="6" a="1"/>
  <c r="W135" i="6"/>
  <c r="X134" i="6"/>
  <c r="W134" i="6" a="1"/>
  <c r="W134" i="6"/>
  <c r="X133" i="6"/>
  <c r="W133" i="6" a="1"/>
  <c r="W133" i="6"/>
  <c r="X132" i="6"/>
  <c r="W132" i="6" a="1"/>
  <c r="W132" i="6"/>
  <c r="X131" i="6"/>
  <c r="W131" i="6" a="1"/>
  <c r="W131" i="6"/>
  <c r="X130" i="6"/>
  <c r="W130" i="6" a="1"/>
  <c r="W130" i="6"/>
  <c r="X129" i="6"/>
  <c r="W129" i="6" a="1"/>
  <c r="W129" i="6"/>
  <c r="X128" i="6"/>
  <c r="W128" i="6" a="1"/>
  <c r="W128" i="6"/>
  <c r="X127" i="6"/>
  <c r="W127" i="6" a="1"/>
  <c r="W127" i="6"/>
  <c r="X126" i="6"/>
  <c r="W126" i="6" a="1"/>
  <c r="W126" i="6"/>
  <c r="X125" i="6"/>
  <c r="W125" i="6" a="1"/>
  <c r="W125" i="6"/>
  <c r="X124" i="6"/>
  <c r="W124" i="6" a="1"/>
  <c r="W124" i="6"/>
  <c r="X123" i="6"/>
  <c r="W123" i="6" a="1"/>
  <c r="W123" i="6"/>
  <c r="X122" i="6"/>
  <c r="W122" i="6" a="1"/>
  <c r="W122" i="6"/>
  <c r="X121" i="6"/>
  <c r="W121" i="6" a="1"/>
  <c r="W121" i="6"/>
  <c r="X120" i="6"/>
  <c r="W120" i="6" a="1"/>
  <c r="W120" i="6"/>
  <c r="X119" i="6"/>
  <c r="W119" i="6" a="1"/>
  <c r="W119" i="6"/>
  <c r="X118" i="6"/>
  <c r="W118" i="6" a="1"/>
  <c r="W118" i="6"/>
  <c r="X117" i="6"/>
  <c r="W117" i="6" a="1"/>
  <c r="W117" i="6"/>
  <c r="X116" i="6"/>
  <c r="W116" i="6" a="1"/>
  <c r="W116" i="6"/>
  <c r="X115" i="6"/>
  <c r="W115" i="6" a="1"/>
  <c r="W115" i="6"/>
  <c r="X114" i="6"/>
  <c r="W114" i="6" a="1"/>
  <c r="W114" i="6"/>
  <c r="X113" i="6"/>
  <c r="W113" i="6" a="1"/>
  <c r="W113" i="6"/>
  <c r="X112" i="6"/>
  <c r="W112" i="6" a="1"/>
  <c r="W112" i="6"/>
  <c r="X111" i="6"/>
  <c r="W111" i="6" a="1"/>
  <c r="W111" i="6"/>
  <c r="X110" i="6"/>
  <c r="W110" i="6" a="1"/>
  <c r="W110" i="6"/>
  <c r="X109" i="6"/>
  <c r="W109" i="6" a="1"/>
  <c r="W109" i="6"/>
  <c r="X108" i="6"/>
  <c r="W108" i="6" a="1"/>
  <c r="W108" i="6"/>
  <c r="X107" i="6"/>
  <c r="W107" i="6" a="1"/>
  <c r="W107" i="6"/>
  <c r="X106" i="6"/>
  <c r="W106" i="6" a="1"/>
  <c r="W106" i="6"/>
  <c r="X105" i="6"/>
  <c r="W105" i="6" a="1"/>
  <c r="W105" i="6"/>
  <c r="X104" i="6"/>
  <c r="W104" i="6" a="1"/>
  <c r="W104" i="6"/>
  <c r="X103" i="6"/>
  <c r="W103" i="6" a="1"/>
  <c r="W103" i="6"/>
  <c r="X102" i="6"/>
  <c r="W102" i="6" a="1"/>
  <c r="W102" i="6"/>
  <c r="X101" i="6"/>
  <c r="W101" i="6" a="1"/>
  <c r="W101" i="6"/>
  <c r="X100" i="6"/>
  <c r="W100" i="6" a="1"/>
  <c r="W100" i="6"/>
  <c r="X99" i="6"/>
  <c r="W99" i="6" a="1"/>
  <c r="W99" i="6"/>
  <c r="X98" i="6"/>
  <c r="W98" i="6" a="1"/>
  <c r="W98" i="6"/>
  <c r="X97" i="6"/>
  <c r="W97" i="6" a="1"/>
  <c r="W97" i="6"/>
  <c r="X96" i="6"/>
  <c r="W96" i="6" a="1"/>
  <c r="W96" i="6"/>
  <c r="X95" i="6"/>
  <c r="W95" i="6" a="1"/>
  <c r="W95" i="6"/>
  <c r="X94" i="6"/>
  <c r="W94" i="6" a="1"/>
  <c r="W94" i="6"/>
  <c r="X93" i="6"/>
  <c r="W93" i="6" a="1"/>
  <c r="W93" i="6"/>
  <c r="X92" i="6"/>
  <c r="W92" i="6" a="1"/>
  <c r="W92" i="6"/>
  <c r="X91" i="6"/>
  <c r="W91" i="6" a="1"/>
  <c r="W91" i="6"/>
  <c r="X90" i="6"/>
  <c r="W90" i="6" a="1"/>
  <c r="W90" i="6"/>
  <c r="X89" i="6"/>
  <c r="W89" i="6" a="1"/>
  <c r="W89" i="6"/>
  <c r="X88" i="6"/>
  <c r="W88" i="6" a="1"/>
  <c r="W88" i="6"/>
  <c r="X87" i="6"/>
  <c r="W87" i="6" a="1"/>
  <c r="W87" i="6"/>
  <c r="X86" i="6"/>
  <c r="W86" i="6" a="1"/>
  <c r="W86" i="6"/>
  <c r="X85" i="6"/>
  <c r="W85" i="6" a="1"/>
  <c r="W85" i="6"/>
  <c r="X84" i="6"/>
  <c r="W84" i="6" a="1"/>
  <c r="W84" i="6"/>
  <c r="X83" i="6"/>
  <c r="W83" i="6" a="1"/>
  <c r="W83" i="6"/>
  <c r="X82" i="6"/>
  <c r="W82" i="6" a="1"/>
  <c r="W82" i="6"/>
  <c r="X81" i="6"/>
  <c r="W81" i="6" a="1"/>
  <c r="W81" i="6"/>
  <c r="X80" i="6"/>
  <c r="W80" i="6" a="1"/>
  <c r="W80" i="6"/>
  <c r="X79" i="6"/>
  <c r="W79" i="6" a="1"/>
  <c r="W79" i="6"/>
  <c r="X78" i="6"/>
  <c r="W78" i="6" a="1"/>
  <c r="W78" i="6"/>
  <c r="X77" i="6"/>
  <c r="W77" i="6" a="1"/>
  <c r="W77" i="6"/>
  <c r="X76" i="6"/>
  <c r="W76" i="6" a="1"/>
  <c r="W76" i="6"/>
  <c r="X75" i="6"/>
  <c r="W75" i="6" a="1"/>
  <c r="W75" i="6"/>
  <c r="X74" i="6"/>
  <c r="W74" i="6" a="1"/>
  <c r="W74" i="6"/>
  <c r="X73" i="6"/>
  <c r="W73" i="6" a="1"/>
  <c r="W73" i="6"/>
  <c r="X72" i="6"/>
  <c r="W72" i="6" a="1"/>
  <c r="W72" i="6"/>
  <c r="X71" i="6"/>
  <c r="W71" i="6" a="1"/>
  <c r="W71" i="6"/>
  <c r="X70" i="6"/>
  <c r="W70" i="6" a="1"/>
  <c r="W70" i="6"/>
  <c r="X69" i="6"/>
  <c r="W69" i="6" a="1"/>
  <c r="W69" i="6"/>
  <c r="X68" i="6"/>
  <c r="W68" i="6" a="1"/>
  <c r="W68" i="6"/>
  <c r="X67" i="6"/>
  <c r="W67" i="6" a="1"/>
  <c r="W67" i="6"/>
  <c r="X66" i="6"/>
  <c r="W66" i="6" a="1"/>
  <c r="W66" i="6"/>
  <c r="X65" i="6"/>
  <c r="W65" i="6" a="1"/>
  <c r="W65" i="6"/>
  <c r="X64" i="6"/>
  <c r="W64" i="6" a="1"/>
  <c r="W64" i="6"/>
  <c r="X63" i="6"/>
  <c r="W63" i="6" a="1"/>
  <c r="W63" i="6"/>
  <c r="X62" i="6"/>
  <c r="W62" i="6" a="1"/>
  <c r="W62" i="6"/>
  <c r="X61" i="6"/>
  <c r="W61" i="6" a="1"/>
  <c r="W61" i="6"/>
  <c r="X60" i="6"/>
  <c r="W60" i="6" a="1"/>
  <c r="W60" i="6"/>
  <c r="X59" i="6"/>
  <c r="W59" i="6" a="1"/>
  <c r="W59" i="6"/>
  <c r="X58" i="6"/>
  <c r="W58" i="6" a="1"/>
  <c r="W58" i="6"/>
  <c r="X57" i="6"/>
  <c r="W57" i="6" a="1"/>
  <c r="W57" i="6"/>
  <c r="X56" i="6"/>
  <c r="W56" i="6" a="1"/>
  <c r="W56" i="6"/>
  <c r="X55" i="6"/>
  <c r="W55" i="6" a="1"/>
  <c r="W55" i="6"/>
  <c r="X54" i="6"/>
  <c r="W54" i="6" a="1"/>
  <c r="W54" i="6"/>
  <c r="X53" i="6"/>
  <c r="W53" i="6" a="1"/>
  <c r="W53" i="6"/>
  <c r="X52" i="6"/>
  <c r="W52" i="6" a="1"/>
  <c r="W52" i="6"/>
  <c r="X51" i="6"/>
  <c r="W51" i="6" a="1"/>
  <c r="W51" i="6"/>
  <c r="X50" i="6"/>
  <c r="W50" i="6" a="1"/>
  <c r="W50" i="6"/>
  <c r="X49" i="6"/>
  <c r="W49" i="6" a="1"/>
  <c r="W49" i="6"/>
  <c r="X48" i="6"/>
  <c r="W48" i="6" a="1"/>
  <c r="W48" i="6"/>
  <c r="X47" i="6"/>
  <c r="W47" i="6" a="1"/>
  <c r="W47" i="6"/>
  <c r="X46" i="6"/>
  <c r="W46" i="6" a="1"/>
  <c r="W46" i="6"/>
  <c r="X45" i="6"/>
  <c r="W45" i="6" a="1"/>
  <c r="W45" i="6"/>
  <c r="X44" i="6"/>
  <c r="W44" i="6" a="1"/>
  <c r="W44" i="6"/>
  <c r="X43" i="6"/>
  <c r="W43" i="6" a="1"/>
  <c r="W43" i="6"/>
  <c r="X42" i="6"/>
  <c r="W42" i="6" a="1"/>
  <c r="W42" i="6"/>
  <c r="X41" i="6"/>
  <c r="W41" i="6" a="1"/>
  <c r="W41" i="6"/>
  <c r="X40" i="6"/>
  <c r="W40" i="6" a="1"/>
  <c r="W40" i="6"/>
  <c r="X39" i="6"/>
  <c r="W39" i="6" a="1"/>
  <c r="W39" i="6"/>
  <c r="X38" i="6"/>
  <c r="W38" i="6" a="1"/>
  <c r="W38" i="6"/>
  <c r="X37" i="6"/>
  <c r="W37" i="6" a="1"/>
  <c r="W37" i="6"/>
  <c r="X36" i="6"/>
  <c r="W36" i="6" a="1"/>
  <c r="W36" i="6"/>
  <c r="X35" i="6"/>
  <c r="W35" i="6" a="1"/>
  <c r="W35" i="6"/>
  <c r="X34" i="6"/>
  <c r="W34" i="6" a="1"/>
  <c r="W34" i="6"/>
  <c r="X33" i="6"/>
  <c r="W33" i="6" a="1"/>
  <c r="W33" i="6"/>
  <c r="X32" i="6"/>
  <c r="W32" i="6" a="1"/>
  <c r="W32" i="6"/>
  <c r="X31" i="6"/>
  <c r="W31" i="6" a="1"/>
  <c r="W31" i="6"/>
  <c r="X30" i="6"/>
  <c r="W30" i="6" a="1"/>
  <c r="W30" i="6"/>
  <c r="X29" i="6"/>
  <c r="W29" i="6" a="1"/>
  <c r="W29" i="6"/>
  <c r="X28" i="6"/>
  <c r="W28" i="6" a="1"/>
  <c r="W28" i="6"/>
  <c r="X27" i="6"/>
  <c r="W27" i="6" a="1"/>
  <c r="W27" i="6"/>
  <c r="X26" i="6"/>
  <c r="W26" i="6" a="1"/>
  <c r="W26" i="6"/>
  <c r="X25" i="6"/>
  <c r="W25" i="6" a="1"/>
  <c r="W25" i="6"/>
  <c r="X24" i="6"/>
  <c r="W24" i="6" a="1"/>
  <c r="W24" i="6"/>
  <c r="X23" i="6"/>
  <c r="W23" i="6" a="1"/>
  <c r="W23" i="6"/>
  <c r="X22" i="6"/>
  <c r="W22" i="6" a="1"/>
  <c r="W22" i="6"/>
  <c r="X21" i="6"/>
  <c r="W21" i="6" a="1"/>
  <c r="W21" i="6"/>
  <c r="X20" i="6"/>
  <c r="W20" i="6" a="1"/>
  <c r="W20" i="6"/>
  <c r="X19" i="6"/>
  <c r="W19" i="6" a="1"/>
  <c r="W19" i="6"/>
  <c r="X18" i="6"/>
  <c r="W18" i="6" a="1"/>
  <c r="W18" i="6"/>
  <c r="X17" i="6"/>
  <c r="W17" i="6" a="1"/>
  <c r="W17" i="6"/>
  <c r="X16" i="6"/>
  <c r="W16" i="6" a="1"/>
  <c r="W16" i="6"/>
  <c r="X15" i="6"/>
  <c r="W15" i="6" a="1"/>
  <c r="W15" i="6"/>
  <c r="X14" i="6"/>
  <c r="W14" i="6" a="1"/>
  <c r="W14" i="6"/>
  <c r="X13" i="6"/>
  <c r="W13" i="6" a="1"/>
  <c r="W13" i="6"/>
  <c r="X12" i="6"/>
  <c r="W12" i="6" a="1"/>
  <c r="W12" i="6"/>
  <c r="X11" i="6"/>
  <c r="W11" i="6" a="1"/>
  <c r="W11" i="6"/>
  <c r="X10" i="6"/>
  <c r="W10" i="6" a="1"/>
  <c r="W10" i="6"/>
  <c r="X9" i="6"/>
  <c r="W9" i="6" a="1"/>
  <c r="W9" i="6"/>
  <c r="X8" i="6"/>
  <c r="W8" i="6" a="1"/>
  <c r="W8" i="6"/>
  <c r="X7" i="6"/>
  <c r="W7" i="6" a="1"/>
  <c r="W7" i="6"/>
  <c r="X6" i="6"/>
  <c r="W6" i="6" a="1"/>
  <c r="W6" i="6"/>
  <c r="X5" i="6"/>
  <c r="W5" i="6" a="1"/>
  <c r="W5" i="6"/>
  <c r="X4" i="6"/>
  <c r="W4" i="6" a="1"/>
  <c r="W4" i="6"/>
  <c r="X3" i="6"/>
  <c r="W3" i="6" a="1"/>
  <c r="W3" i="6"/>
  <c r="A2" i="6"/>
  <c r="I2154" i="5"/>
  <c r="E2154" i="5"/>
  <c r="D2154" i="5"/>
  <c r="C2154" i="5"/>
  <c r="B2154" i="5"/>
  <c r="I2153" i="5"/>
  <c r="E2153" i="5"/>
  <c r="D2153" i="5"/>
  <c r="C2153" i="5"/>
  <c r="B2153" i="5"/>
  <c r="I2152" i="5"/>
  <c r="E2152" i="5"/>
  <c r="D2152" i="5"/>
  <c r="C2152" i="5"/>
  <c r="B2152" i="5"/>
  <c r="I2151" i="5"/>
  <c r="E2151" i="5"/>
  <c r="D2151" i="5"/>
  <c r="C2151" i="5"/>
  <c r="B2151" i="5"/>
  <c r="I2150" i="5"/>
  <c r="E2150" i="5"/>
  <c r="D2150" i="5"/>
  <c r="C2150" i="5"/>
  <c r="B2150" i="5"/>
  <c r="I2149" i="5"/>
  <c r="E2149" i="5"/>
  <c r="D2149" i="5"/>
  <c r="C2149" i="5"/>
  <c r="B2149" i="5"/>
  <c r="I2148" i="5"/>
  <c r="E2148" i="5"/>
  <c r="D2148" i="5"/>
  <c r="C2148" i="5"/>
  <c r="B2148" i="5"/>
  <c r="I2147" i="5"/>
  <c r="G2147" i="5"/>
  <c r="F2147" i="5"/>
  <c r="E2147" i="5"/>
  <c r="D2147" i="5"/>
  <c r="C2147" i="5"/>
  <c r="B2147" i="5"/>
  <c r="I2146" i="5"/>
  <c r="E2146" i="5"/>
  <c r="D2146" i="5"/>
  <c r="C2146" i="5"/>
  <c r="B2146" i="5"/>
  <c r="I2145" i="5"/>
  <c r="E2145" i="5"/>
  <c r="D2145" i="5"/>
  <c r="C2145" i="5"/>
  <c r="B2145" i="5"/>
  <c r="I2144" i="5"/>
  <c r="E2144" i="5"/>
  <c r="D2144" i="5"/>
  <c r="C2144" i="5"/>
  <c r="B2144" i="5"/>
  <c r="I2143" i="5"/>
  <c r="E2143" i="5"/>
  <c r="D2143" i="5"/>
  <c r="C2143" i="5"/>
  <c r="B2143" i="5"/>
  <c r="I2142" i="5"/>
  <c r="E2142" i="5"/>
  <c r="D2142" i="5"/>
  <c r="C2142" i="5"/>
  <c r="B2142" i="5"/>
  <c r="I2141" i="5"/>
  <c r="E2141" i="5"/>
  <c r="D2141" i="5"/>
  <c r="C2141" i="5"/>
  <c r="B2141" i="5"/>
  <c r="I2140" i="5"/>
  <c r="E2140" i="5"/>
  <c r="D2140" i="5"/>
  <c r="C2140" i="5"/>
  <c r="B2140" i="5"/>
  <c r="I2139" i="5"/>
  <c r="E2139" i="5"/>
  <c r="D2139" i="5"/>
  <c r="C2139" i="5"/>
  <c r="B2139" i="5"/>
  <c r="I2138" i="5"/>
  <c r="E2138" i="5"/>
  <c r="D2138" i="5"/>
  <c r="C2138" i="5"/>
  <c r="B2138" i="5"/>
  <c r="I2137" i="5"/>
  <c r="D2137" i="5"/>
  <c r="C2137" i="5"/>
  <c r="B2137" i="5"/>
  <c r="I2136" i="5"/>
  <c r="G2136" i="5"/>
  <c r="F2136" i="5"/>
  <c r="E2136" i="5"/>
  <c r="D2136" i="5"/>
  <c r="C2136" i="5"/>
  <c r="B2136" i="5"/>
  <c r="I2135" i="5"/>
  <c r="G2135" i="5"/>
  <c r="F2135" i="5"/>
  <c r="E2135" i="5"/>
  <c r="D2135" i="5"/>
  <c r="C2135" i="5"/>
  <c r="B2135" i="5"/>
  <c r="I2134" i="5"/>
  <c r="G2134" i="5"/>
  <c r="F2134" i="5"/>
  <c r="E2134" i="5"/>
  <c r="D2134" i="5"/>
  <c r="C2134" i="5"/>
  <c r="B2134" i="5"/>
  <c r="I2133" i="5"/>
  <c r="G2133" i="5"/>
  <c r="F2133" i="5"/>
  <c r="E2133" i="5"/>
  <c r="D2133" i="5"/>
  <c r="C2133" i="5"/>
  <c r="B2133" i="5"/>
  <c r="I2132" i="5"/>
  <c r="G2132" i="5"/>
  <c r="F2132" i="5"/>
  <c r="E2132" i="5"/>
  <c r="D2132" i="5"/>
  <c r="C2132" i="5"/>
  <c r="B2132" i="5"/>
  <c r="I2131" i="5"/>
  <c r="G2131" i="5"/>
  <c r="F2131" i="5"/>
  <c r="E2131" i="5"/>
  <c r="D2131" i="5"/>
  <c r="C2131" i="5"/>
  <c r="B2131" i="5"/>
  <c r="I2130" i="5"/>
  <c r="G2130" i="5"/>
  <c r="F2130" i="5"/>
  <c r="E2130" i="5"/>
  <c r="D2130" i="5"/>
  <c r="C2130" i="5"/>
  <c r="B2130" i="5"/>
  <c r="I2129" i="5"/>
  <c r="G2129" i="5"/>
  <c r="F2129" i="5"/>
  <c r="E2129" i="5"/>
  <c r="D2129" i="5"/>
  <c r="C2129" i="5"/>
  <c r="B2129" i="5"/>
  <c r="I2128" i="5"/>
  <c r="G2128" i="5"/>
  <c r="F2128" i="5"/>
  <c r="E2128" i="5"/>
  <c r="D2128" i="5"/>
  <c r="C2128" i="5"/>
  <c r="B2128" i="5"/>
  <c r="I2127" i="5"/>
  <c r="G2127" i="5"/>
  <c r="F2127" i="5"/>
  <c r="E2127" i="5"/>
  <c r="D2127" i="5"/>
  <c r="C2127" i="5"/>
  <c r="B2127" i="5"/>
  <c r="I2126" i="5"/>
  <c r="G2126" i="5"/>
  <c r="F2126" i="5"/>
  <c r="E2126" i="5"/>
  <c r="D2126" i="5"/>
  <c r="C2126" i="5"/>
  <c r="B2126" i="5"/>
  <c r="I2125" i="5"/>
  <c r="G2125" i="5"/>
  <c r="F2125" i="5"/>
  <c r="E2125" i="5"/>
  <c r="D2125" i="5"/>
  <c r="C2125" i="5"/>
  <c r="B2125" i="5"/>
  <c r="I2124" i="5"/>
  <c r="G2124" i="5"/>
  <c r="F2124" i="5"/>
  <c r="E2124" i="5"/>
  <c r="D2124" i="5"/>
  <c r="C2124" i="5"/>
  <c r="B2124" i="5"/>
  <c r="I2123" i="5"/>
  <c r="G2123" i="5"/>
  <c r="F2123" i="5"/>
  <c r="E2123" i="5"/>
  <c r="D2123" i="5"/>
  <c r="C2123" i="5"/>
  <c r="B2123" i="5"/>
  <c r="I2122" i="5"/>
  <c r="G2122" i="5"/>
  <c r="F2122" i="5"/>
  <c r="E2122" i="5"/>
  <c r="D2122" i="5"/>
  <c r="C2122" i="5"/>
  <c r="B2122" i="5"/>
  <c r="I2121" i="5"/>
  <c r="G2121" i="5"/>
  <c r="F2121" i="5"/>
  <c r="E2121" i="5"/>
  <c r="D2121" i="5"/>
  <c r="C2121" i="5"/>
  <c r="B2121" i="5"/>
  <c r="I2120" i="5"/>
  <c r="G2120" i="5"/>
  <c r="F2120" i="5"/>
  <c r="E2120" i="5"/>
  <c r="D2120" i="5"/>
  <c r="C2120" i="5"/>
  <c r="B2120" i="5"/>
  <c r="I2119" i="5"/>
  <c r="G2119" i="5"/>
  <c r="F2119" i="5"/>
  <c r="E2119" i="5"/>
  <c r="D2119" i="5"/>
  <c r="C2119" i="5"/>
  <c r="B2119" i="5"/>
  <c r="I2118" i="5"/>
  <c r="G2118" i="5"/>
  <c r="F2118" i="5"/>
  <c r="E2118" i="5"/>
  <c r="D2118" i="5"/>
  <c r="C2118" i="5"/>
  <c r="B2118" i="5"/>
  <c r="I2117" i="5"/>
  <c r="G2117" i="5"/>
  <c r="F2117" i="5"/>
  <c r="E2117" i="5"/>
  <c r="D2117" i="5"/>
  <c r="C2117" i="5"/>
  <c r="B2117" i="5"/>
  <c r="I2116" i="5"/>
  <c r="G2116" i="5"/>
  <c r="F2116" i="5"/>
  <c r="E2116" i="5"/>
  <c r="D2116" i="5"/>
  <c r="C2116" i="5"/>
  <c r="B2116" i="5"/>
  <c r="I2115" i="5"/>
  <c r="G2115" i="5"/>
  <c r="F2115" i="5"/>
  <c r="E2115" i="5"/>
  <c r="D2115" i="5"/>
  <c r="C2115" i="5"/>
  <c r="B2115" i="5"/>
  <c r="I2114" i="5"/>
  <c r="G2114" i="5"/>
  <c r="F2114" i="5"/>
  <c r="E2114" i="5"/>
  <c r="D2114" i="5"/>
  <c r="C2114" i="5"/>
  <c r="B2114" i="5"/>
  <c r="I2113" i="5"/>
  <c r="G2113" i="5"/>
  <c r="F2113" i="5"/>
  <c r="E2113" i="5"/>
  <c r="D2113" i="5"/>
  <c r="C2113" i="5"/>
  <c r="B2113" i="5"/>
  <c r="I2112" i="5"/>
  <c r="G2112" i="5"/>
  <c r="F2112" i="5"/>
  <c r="E2112" i="5"/>
  <c r="D2112" i="5"/>
  <c r="C2112" i="5"/>
  <c r="B2112" i="5"/>
  <c r="I2111" i="5"/>
  <c r="G2111" i="5"/>
  <c r="F2111" i="5"/>
  <c r="E2111" i="5"/>
  <c r="D2111" i="5"/>
  <c r="C2111" i="5"/>
  <c r="B2111" i="5"/>
  <c r="I2110" i="5"/>
  <c r="G2110" i="5"/>
  <c r="F2110" i="5"/>
  <c r="E2110" i="5"/>
  <c r="D2110" i="5"/>
  <c r="C2110" i="5"/>
  <c r="B2110" i="5"/>
  <c r="I2109" i="5"/>
  <c r="G2109" i="5"/>
  <c r="F2109" i="5"/>
  <c r="E2109" i="5"/>
  <c r="D2109" i="5"/>
  <c r="C2109" i="5"/>
  <c r="B2109" i="5"/>
  <c r="I2108" i="5"/>
  <c r="G2108" i="5"/>
  <c r="F2108" i="5"/>
  <c r="E2108" i="5"/>
  <c r="D2108" i="5"/>
  <c r="C2108" i="5"/>
  <c r="B2108" i="5"/>
  <c r="I2107" i="5"/>
  <c r="G2107" i="5"/>
  <c r="F2107" i="5"/>
  <c r="E2107" i="5"/>
  <c r="D2107" i="5"/>
  <c r="C2107" i="5"/>
  <c r="B2107" i="5"/>
  <c r="I2106" i="5"/>
  <c r="G2106" i="5"/>
  <c r="F2106" i="5"/>
  <c r="E2106" i="5"/>
  <c r="D2106" i="5"/>
  <c r="C2106" i="5"/>
  <c r="B2106" i="5"/>
  <c r="I2105" i="5"/>
  <c r="G2105" i="5"/>
  <c r="F2105" i="5"/>
  <c r="E2105" i="5"/>
  <c r="D2105" i="5"/>
  <c r="C2105" i="5"/>
  <c r="B2105" i="5"/>
  <c r="I2104" i="5"/>
  <c r="E2104" i="5"/>
  <c r="D2104" i="5"/>
  <c r="C2104" i="5"/>
  <c r="B2104" i="5"/>
  <c r="I2103" i="5"/>
  <c r="G2103" i="5"/>
  <c r="F2103" i="5"/>
  <c r="E2103" i="5"/>
  <c r="D2103" i="5"/>
  <c r="C2103" i="5"/>
  <c r="B2103" i="5"/>
  <c r="I2102" i="5"/>
  <c r="G2102" i="5"/>
  <c r="F2102" i="5"/>
  <c r="E2102" i="5"/>
  <c r="D2102" i="5"/>
  <c r="C2102" i="5"/>
  <c r="B2102" i="5"/>
  <c r="I2101" i="5"/>
  <c r="G2101" i="5"/>
  <c r="F2101" i="5"/>
  <c r="E2101" i="5"/>
  <c r="D2101" i="5"/>
  <c r="C2101" i="5"/>
  <c r="B2101" i="5"/>
  <c r="I2100" i="5"/>
  <c r="G2100" i="5"/>
  <c r="F2100" i="5"/>
  <c r="E2100" i="5"/>
  <c r="D2100" i="5"/>
  <c r="C2100" i="5"/>
  <c r="B2100" i="5"/>
  <c r="I2099" i="5"/>
  <c r="G2099" i="5"/>
  <c r="F2099" i="5"/>
  <c r="E2099" i="5"/>
  <c r="D2099" i="5"/>
  <c r="C2099" i="5"/>
  <c r="B2099" i="5"/>
  <c r="I2098" i="5"/>
  <c r="G2098" i="5"/>
  <c r="F2098" i="5"/>
  <c r="E2098" i="5"/>
  <c r="D2098" i="5"/>
  <c r="C2098" i="5"/>
  <c r="B2098" i="5"/>
  <c r="I2097" i="5"/>
  <c r="G2097" i="5"/>
  <c r="F2097" i="5"/>
  <c r="E2097" i="5"/>
  <c r="D2097" i="5"/>
  <c r="C2097" i="5"/>
  <c r="B2097" i="5"/>
  <c r="I2096" i="5"/>
  <c r="G2096" i="5"/>
  <c r="F2096" i="5"/>
  <c r="E2096" i="5"/>
  <c r="D2096" i="5"/>
  <c r="C2096" i="5"/>
  <c r="B2096" i="5"/>
  <c r="I2095" i="5"/>
  <c r="G2095" i="5"/>
  <c r="F2095" i="5"/>
  <c r="E2095" i="5"/>
  <c r="D2095" i="5"/>
  <c r="C2095" i="5"/>
  <c r="B2095" i="5"/>
  <c r="I2094" i="5"/>
  <c r="G2094" i="5"/>
  <c r="F2094" i="5"/>
  <c r="E2094" i="5"/>
  <c r="D2094" i="5"/>
  <c r="C2094" i="5"/>
  <c r="B2094" i="5"/>
  <c r="I2093" i="5"/>
  <c r="G2093" i="5"/>
  <c r="F2093" i="5"/>
  <c r="E2093" i="5"/>
  <c r="D2093" i="5"/>
  <c r="C2093" i="5"/>
  <c r="B2093" i="5"/>
  <c r="I2092" i="5"/>
  <c r="G2092" i="5"/>
  <c r="F2092" i="5"/>
  <c r="E2092" i="5"/>
  <c r="D2092" i="5"/>
  <c r="C2092" i="5"/>
  <c r="B2092" i="5"/>
  <c r="I2091" i="5"/>
  <c r="G2091" i="5"/>
  <c r="F2091" i="5"/>
  <c r="E2091" i="5"/>
  <c r="D2091" i="5"/>
  <c r="C2091" i="5"/>
  <c r="B2091" i="5"/>
  <c r="I2090" i="5"/>
  <c r="G2090" i="5"/>
  <c r="F2090" i="5"/>
  <c r="E2090" i="5"/>
  <c r="D2090" i="5"/>
  <c r="C2090" i="5"/>
  <c r="B2090" i="5"/>
  <c r="I2089" i="5"/>
  <c r="G2089" i="5"/>
  <c r="F2089" i="5"/>
  <c r="E2089" i="5"/>
  <c r="D2089" i="5"/>
  <c r="C2089" i="5"/>
  <c r="B2089" i="5"/>
  <c r="I2088" i="5"/>
  <c r="G2088" i="5"/>
  <c r="F2088" i="5"/>
  <c r="E2088" i="5"/>
  <c r="D2088" i="5"/>
  <c r="C2088" i="5"/>
  <c r="B2088" i="5"/>
  <c r="I2087" i="5"/>
  <c r="H2087" i="5"/>
  <c r="G2087" i="5"/>
  <c r="F2087" i="5"/>
  <c r="E2087" i="5"/>
  <c r="D2087" i="5"/>
  <c r="C2087" i="5"/>
  <c r="B2087" i="5"/>
  <c r="I2086" i="5"/>
  <c r="G2086" i="5"/>
  <c r="F2086" i="5"/>
  <c r="E2086" i="5"/>
  <c r="D2086" i="5"/>
  <c r="C2086" i="5"/>
  <c r="B2086" i="5"/>
  <c r="I2085" i="5"/>
  <c r="G2085" i="5"/>
  <c r="F2085" i="5"/>
  <c r="E2085" i="5"/>
  <c r="D2085" i="5"/>
  <c r="C2085" i="5"/>
  <c r="B2085" i="5"/>
  <c r="I2084" i="5"/>
  <c r="E2084" i="5"/>
  <c r="D2084" i="5"/>
  <c r="C2084" i="5"/>
  <c r="B2084" i="5"/>
  <c r="I2083" i="5"/>
  <c r="E2083" i="5"/>
  <c r="D2083" i="5"/>
  <c r="C2083" i="5"/>
  <c r="B2083" i="5"/>
  <c r="I2082" i="5"/>
  <c r="G2082" i="5"/>
  <c r="F2082" i="5"/>
  <c r="E2082" i="5"/>
  <c r="D2082" i="5"/>
  <c r="C2082" i="5"/>
  <c r="B2082" i="5"/>
  <c r="I2081" i="5"/>
  <c r="H2081" i="5"/>
  <c r="E2081" i="5"/>
  <c r="D2081" i="5"/>
  <c r="C2081" i="5"/>
  <c r="B2081" i="5"/>
  <c r="I2080" i="5"/>
  <c r="G2080" i="5"/>
  <c r="F2080" i="5"/>
  <c r="E2080" i="5"/>
  <c r="D2080" i="5"/>
  <c r="C2080" i="5"/>
  <c r="B2080" i="5"/>
  <c r="I2079" i="5"/>
  <c r="E2079" i="5"/>
  <c r="D2079" i="5"/>
  <c r="C2079" i="5"/>
  <c r="B2079" i="5"/>
  <c r="I2078" i="5"/>
  <c r="G2078" i="5"/>
  <c r="F2078" i="5"/>
  <c r="E2078" i="5"/>
  <c r="D2078" i="5"/>
  <c r="C2078" i="5"/>
  <c r="B2078" i="5"/>
  <c r="I2077" i="5"/>
  <c r="G2077" i="5"/>
  <c r="F2077" i="5"/>
  <c r="E2077" i="5"/>
  <c r="D2077" i="5"/>
  <c r="C2077" i="5"/>
  <c r="B2077" i="5"/>
  <c r="I2076" i="5"/>
  <c r="G2076" i="5"/>
  <c r="F2076" i="5"/>
  <c r="E2076" i="5"/>
  <c r="D2076" i="5"/>
  <c r="C2076" i="5"/>
  <c r="B2076" i="5"/>
  <c r="I2075" i="5"/>
  <c r="G2075" i="5"/>
  <c r="F2075" i="5"/>
  <c r="E2075" i="5"/>
  <c r="D2075" i="5"/>
  <c r="C2075" i="5"/>
  <c r="B2075" i="5"/>
  <c r="I2074" i="5"/>
  <c r="G2074" i="5"/>
  <c r="F2074" i="5"/>
  <c r="E2074" i="5"/>
  <c r="D2074" i="5"/>
  <c r="C2074" i="5"/>
  <c r="B2074" i="5"/>
  <c r="I2073" i="5"/>
  <c r="G2073" i="5"/>
  <c r="F2073" i="5"/>
  <c r="E2073" i="5"/>
  <c r="D2073" i="5"/>
  <c r="C2073" i="5"/>
  <c r="B2073" i="5"/>
  <c r="I2072" i="5"/>
  <c r="G2072" i="5"/>
  <c r="F2072" i="5"/>
  <c r="E2072" i="5"/>
  <c r="D2072" i="5"/>
  <c r="C2072" i="5"/>
  <c r="B2072" i="5"/>
  <c r="I2071" i="5"/>
  <c r="G2071" i="5"/>
  <c r="F2071" i="5"/>
  <c r="E2071" i="5"/>
  <c r="D2071" i="5"/>
  <c r="C2071" i="5"/>
  <c r="B2071" i="5"/>
  <c r="I2070" i="5"/>
  <c r="G2070" i="5"/>
  <c r="F2070" i="5"/>
  <c r="E2070" i="5"/>
  <c r="D2070" i="5"/>
  <c r="C2070" i="5"/>
  <c r="B2070" i="5"/>
  <c r="I2069" i="5"/>
  <c r="G2069" i="5"/>
  <c r="F2069" i="5"/>
  <c r="E2069" i="5"/>
  <c r="D2069" i="5"/>
  <c r="C2069" i="5"/>
  <c r="B2069" i="5"/>
  <c r="I2068" i="5"/>
  <c r="G2068" i="5"/>
  <c r="F2068" i="5"/>
  <c r="E2068" i="5"/>
  <c r="D2068" i="5"/>
  <c r="C2068" i="5"/>
  <c r="B2068" i="5"/>
  <c r="I2067" i="5"/>
  <c r="G2067" i="5"/>
  <c r="F2067" i="5"/>
  <c r="E2067" i="5"/>
  <c r="D2067" i="5"/>
  <c r="C2067" i="5"/>
  <c r="B2067" i="5"/>
  <c r="I2066" i="5"/>
  <c r="G2066" i="5"/>
  <c r="F2066" i="5"/>
  <c r="E2066" i="5"/>
  <c r="D2066" i="5"/>
  <c r="C2066" i="5"/>
  <c r="B2066" i="5"/>
  <c r="I2065" i="5"/>
  <c r="G2065" i="5"/>
  <c r="F2065" i="5"/>
  <c r="E2065" i="5"/>
  <c r="D2065" i="5"/>
  <c r="C2065" i="5"/>
  <c r="B2065" i="5"/>
  <c r="I2064" i="5"/>
  <c r="G2064" i="5"/>
  <c r="F2064" i="5"/>
  <c r="E2064" i="5"/>
  <c r="D2064" i="5"/>
  <c r="C2064" i="5"/>
  <c r="B2064" i="5"/>
  <c r="I2063" i="5"/>
  <c r="G2063" i="5"/>
  <c r="F2063" i="5"/>
  <c r="E2063" i="5"/>
  <c r="D2063" i="5"/>
  <c r="C2063" i="5"/>
  <c r="B2063" i="5"/>
  <c r="I2062" i="5"/>
  <c r="G2062" i="5"/>
  <c r="F2062" i="5"/>
  <c r="E2062" i="5"/>
  <c r="D2062" i="5"/>
  <c r="C2062" i="5"/>
  <c r="B2062" i="5"/>
  <c r="I2061" i="5"/>
  <c r="G2061" i="5"/>
  <c r="F2061" i="5"/>
  <c r="E2061" i="5"/>
  <c r="D2061" i="5"/>
  <c r="C2061" i="5"/>
  <c r="B2061" i="5"/>
  <c r="I2060" i="5"/>
  <c r="G2060" i="5"/>
  <c r="F2060" i="5"/>
  <c r="E2060" i="5"/>
  <c r="D2060" i="5"/>
  <c r="C2060" i="5"/>
  <c r="B2060" i="5"/>
  <c r="I2059" i="5"/>
  <c r="G2059" i="5"/>
  <c r="F2059" i="5"/>
  <c r="E2059" i="5"/>
  <c r="D2059" i="5"/>
  <c r="C2059" i="5"/>
  <c r="B2059" i="5"/>
  <c r="I2058" i="5"/>
  <c r="G2058" i="5"/>
  <c r="F2058" i="5"/>
  <c r="E2058" i="5"/>
  <c r="D2058" i="5"/>
  <c r="C2058" i="5"/>
  <c r="B2058" i="5"/>
  <c r="I2057" i="5"/>
  <c r="G2057" i="5"/>
  <c r="F2057" i="5"/>
  <c r="E2057" i="5"/>
  <c r="D2057" i="5"/>
  <c r="C2057" i="5"/>
  <c r="B2057" i="5"/>
  <c r="I2056" i="5"/>
  <c r="G2056" i="5"/>
  <c r="F2056" i="5"/>
  <c r="E2056" i="5"/>
  <c r="D2056" i="5"/>
  <c r="C2056" i="5"/>
  <c r="B2056" i="5"/>
  <c r="I2055" i="5"/>
  <c r="G2055" i="5"/>
  <c r="F2055" i="5"/>
  <c r="E2055" i="5"/>
  <c r="D2055" i="5"/>
  <c r="C2055" i="5"/>
  <c r="B2055" i="5"/>
  <c r="I2054" i="5"/>
  <c r="G2054" i="5"/>
  <c r="F2054" i="5"/>
  <c r="E2054" i="5"/>
  <c r="D2054" i="5"/>
  <c r="C2054" i="5"/>
  <c r="B2054" i="5"/>
  <c r="I2053" i="5"/>
  <c r="G2053" i="5"/>
  <c r="F2053" i="5"/>
  <c r="E2053" i="5"/>
  <c r="D2053" i="5"/>
  <c r="C2053" i="5"/>
  <c r="B2053" i="5"/>
  <c r="I2052" i="5"/>
  <c r="G2052" i="5"/>
  <c r="F2052" i="5"/>
  <c r="E2052" i="5"/>
  <c r="D2052" i="5"/>
  <c r="C2052" i="5"/>
  <c r="B2052" i="5"/>
  <c r="I2051" i="5"/>
  <c r="G2051" i="5"/>
  <c r="F2051" i="5"/>
  <c r="E2051" i="5"/>
  <c r="D2051" i="5"/>
  <c r="C2051" i="5"/>
  <c r="B2051" i="5"/>
  <c r="I2050" i="5"/>
  <c r="G2050" i="5"/>
  <c r="F2050" i="5"/>
  <c r="E2050" i="5"/>
  <c r="D2050" i="5"/>
  <c r="C2050" i="5"/>
  <c r="B2050" i="5"/>
  <c r="I2049" i="5"/>
  <c r="G2049" i="5"/>
  <c r="F2049" i="5"/>
  <c r="E2049" i="5"/>
  <c r="D2049" i="5"/>
  <c r="C2049" i="5"/>
  <c r="B2049" i="5"/>
  <c r="I2048" i="5"/>
  <c r="G2048" i="5"/>
  <c r="F2048" i="5"/>
  <c r="E2048" i="5"/>
  <c r="D2048" i="5"/>
  <c r="C2048" i="5"/>
  <c r="B2048" i="5"/>
  <c r="I2047" i="5"/>
  <c r="G2047" i="5"/>
  <c r="F2047" i="5"/>
  <c r="E2047" i="5"/>
  <c r="D2047" i="5"/>
  <c r="C2047" i="5"/>
  <c r="B2047" i="5"/>
  <c r="I2046" i="5"/>
  <c r="G2046" i="5"/>
  <c r="F2046" i="5"/>
  <c r="E2046" i="5"/>
  <c r="D2046" i="5"/>
  <c r="C2046" i="5"/>
  <c r="B2046" i="5"/>
  <c r="I2045" i="5"/>
  <c r="G2045" i="5"/>
  <c r="F2045" i="5"/>
  <c r="E2045" i="5"/>
  <c r="D2045" i="5"/>
  <c r="C2045" i="5"/>
  <c r="B2045" i="5"/>
  <c r="I2044" i="5"/>
  <c r="G2044" i="5"/>
  <c r="F2044" i="5"/>
  <c r="E2044" i="5"/>
  <c r="D2044" i="5"/>
  <c r="C2044" i="5"/>
  <c r="B2044" i="5"/>
  <c r="I2043" i="5"/>
  <c r="G2043" i="5"/>
  <c r="F2043" i="5"/>
  <c r="E2043" i="5"/>
  <c r="D2043" i="5"/>
  <c r="C2043" i="5"/>
  <c r="B2043" i="5"/>
  <c r="I2042" i="5"/>
  <c r="G2042" i="5"/>
  <c r="F2042" i="5"/>
  <c r="E2042" i="5"/>
  <c r="D2042" i="5"/>
  <c r="C2042" i="5"/>
  <c r="B2042" i="5"/>
  <c r="I2041" i="5"/>
  <c r="G2041" i="5"/>
  <c r="F2041" i="5"/>
  <c r="E2041" i="5"/>
  <c r="D2041" i="5"/>
  <c r="C2041" i="5"/>
  <c r="B2041" i="5"/>
  <c r="I2040" i="5"/>
  <c r="G2040" i="5"/>
  <c r="F2040" i="5"/>
  <c r="E2040" i="5"/>
  <c r="D2040" i="5"/>
  <c r="C2040" i="5"/>
  <c r="B2040" i="5"/>
  <c r="I2039" i="5"/>
  <c r="G2039" i="5"/>
  <c r="F2039" i="5"/>
  <c r="E2039" i="5"/>
  <c r="D2039" i="5"/>
  <c r="C2039" i="5"/>
  <c r="B2039" i="5"/>
  <c r="I2038" i="5"/>
  <c r="G2038" i="5"/>
  <c r="F2038" i="5"/>
  <c r="E2038" i="5"/>
  <c r="D2038" i="5"/>
  <c r="C2038" i="5"/>
  <c r="B2038" i="5"/>
  <c r="I2037" i="5"/>
  <c r="G2037" i="5"/>
  <c r="F2037" i="5"/>
  <c r="E2037" i="5"/>
  <c r="D2037" i="5"/>
  <c r="C2037" i="5"/>
  <c r="B2037" i="5"/>
  <c r="I2036" i="5"/>
  <c r="G2036" i="5"/>
  <c r="F2036" i="5"/>
  <c r="E2036" i="5"/>
  <c r="D2036" i="5"/>
  <c r="C2036" i="5"/>
  <c r="B2036" i="5"/>
  <c r="I2035" i="5"/>
  <c r="G2035" i="5"/>
  <c r="F2035" i="5"/>
  <c r="E2035" i="5"/>
  <c r="D2035" i="5"/>
  <c r="C2035" i="5"/>
  <c r="B2035" i="5"/>
  <c r="I2034" i="5"/>
  <c r="G2034" i="5"/>
  <c r="F2034" i="5"/>
  <c r="E2034" i="5"/>
  <c r="D2034" i="5"/>
  <c r="C2034" i="5"/>
  <c r="B2034" i="5"/>
  <c r="I2033" i="5"/>
  <c r="G2033" i="5"/>
  <c r="F2033" i="5"/>
  <c r="E2033" i="5"/>
  <c r="D2033" i="5"/>
  <c r="C2033" i="5"/>
  <c r="B2033" i="5"/>
  <c r="I2032" i="5"/>
  <c r="G2032" i="5"/>
  <c r="F2032" i="5"/>
  <c r="E2032" i="5"/>
  <c r="D2032" i="5"/>
  <c r="C2032" i="5"/>
  <c r="B2032" i="5"/>
  <c r="I2031" i="5"/>
  <c r="G2031" i="5"/>
  <c r="F2031" i="5"/>
  <c r="E2031" i="5"/>
  <c r="D2031" i="5"/>
  <c r="C2031" i="5"/>
  <c r="B2031" i="5"/>
  <c r="I2030" i="5"/>
  <c r="G2030" i="5"/>
  <c r="F2030" i="5"/>
  <c r="E2030" i="5"/>
  <c r="D2030" i="5"/>
  <c r="C2030" i="5"/>
  <c r="B2030" i="5"/>
  <c r="I2029" i="5"/>
  <c r="G2029" i="5"/>
  <c r="F2029" i="5"/>
  <c r="E2029" i="5"/>
  <c r="D2029" i="5"/>
  <c r="C2029" i="5"/>
  <c r="B2029" i="5"/>
  <c r="I2028" i="5"/>
  <c r="G2028" i="5"/>
  <c r="F2028" i="5"/>
  <c r="E2028" i="5"/>
  <c r="D2028" i="5"/>
  <c r="C2028" i="5"/>
  <c r="B2028" i="5"/>
  <c r="I2027" i="5"/>
  <c r="G2027" i="5"/>
  <c r="F2027" i="5"/>
  <c r="E2027" i="5"/>
  <c r="D2027" i="5"/>
  <c r="C2027" i="5"/>
  <c r="B2027" i="5"/>
  <c r="I2026" i="5"/>
  <c r="G2026" i="5"/>
  <c r="F2026" i="5"/>
  <c r="E2026" i="5"/>
  <c r="D2026" i="5"/>
  <c r="C2026" i="5"/>
  <c r="B2026" i="5"/>
  <c r="I2025" i="5"/>
  <c r="G2025" i="5"/>
  <c r="F2025" i="5"/>
  <c r="E2025" i="5"/>
  <c r="D2025" i="5"/>
  <c r="C2025" i="5"/>
  <c r="B2025" i="5"/>
  <c r="I2024" i="5"/>
  <c r="G2024" i="5"/>
  <c r="F2024" i="5"/>
  <c r="E2024" i="5"/>
  <c r="D2024" i="5"/>
  <c r="C2024" i="5"/>
  <c r="B2024" i="5"/>
  <c r="I2023" i="5"/>
  <c r="G2023" i="5"/>
  <c r="F2023" i="5"/>
  <c r="E2023" i="5"/>
  <c r="D2023" i="5"/>
  <c r="C2023" i="5"/>
  <c r="B2023" i="5"/>
  <c r="I2022" i="5"/>
  <c r="G2022" i="5"/>
  <c r="F2022" i="5"/>
  <c r="E2022" i="5"/>
  <c r="D2022" i="5"/>
  <c r="C2022" i="5"/>
  <c r="B2022" i="5"/>
  <c r="I2021" i="5"/>
  <c r="G2021" i="5"/>
  <c r="F2021" i="5"/>
  <c r="E2021" i="5"/>
  <c r="D2021" i="5"/>
  <c r="C2021" i="5"/>
  <c r="B2021" i="5"/>
  <c r="I2020" i="5"/>
  <c r="G2020" i="5"/>
  <c r="F2020" i="5"/>
  <c r="E2020" i="5"/>
  <c r="D2020" i="5"/>
  <c r="C2020" i="5"/>
  <c r="B2020" i="5"/>
  <c r="I2019" i="5"/>
  <c r="G2019" i="5"/>
  <c r="F2019" i="5"/>
  <c r="E2019" i="5"/>
  <c r="D2019" i="5"/>
  <c r="C2019" i="5"/>
  <c r="B2019" i="5"/>
  <c r="I2018" i="5"/>
  <c r="G2018" i="5"/>
  <c r="F2018" i="5"/>
  <c r="E2018" i="5"/>
  <c r="D2018" i="5"/>
  <c r="C2018" i="5"/>
  <c r="B2018" i="5"/>
  <c r="I2017" i="5"/>
  <c r="G2017" i="5"/>
  <c r="F2017" i="5"/>
  <c r="E2017" i="5"/>
  <c r="D2017" i="5"/>
  <c r="C2017" i="5"/>
  <c r="B2017" i="5"/>
  <c r="I2016" i="5"/>
  <c r="G2016" i="5"/>
  <c r="F2016" i="5"/>
  <c r="E2016" i="5"/>
  <c r="D2016" i="5"/>
  <c r="C2016" i="5"/>
  <c r="B2016" i="5"/>
  <c r="I2015" i="5"/>
  <c r="G2015" i="5"/>
  <c r="F2015" i="5"/>
  <c r="E2015" i="5"/>
  <c r="D2015" i="5"/>
  <c r="C2015" i="5"/>
  <c r="B2015" i="5"/>
  <c r="I2014" i="5"/>
  <c r="G2014" i="5"/>
  <c r="F2014" i="5"/>
  <c r="E2014" i="5"/>
  <c r="D2014" i="5"/>
  <c r="C2014" i="5"/>
  <c r="B2014" i="5"/>
  <c r="I2013" i="5"/>
  <c r="G2013" i="5"/>
  <c r="F2013" i="5"/>
  <c r="E2013" i="5"/>
  <c r="D2013" i="5"/>
  <c r="C2013" i="5"/>
  <c r="B2013" i="5"/>
  <c r="I2012" i="5"/>
  <c r="G2012" i="5"/>
  <c r="F2012" i="5"/>
  <c r="E2012" i="5"/>
  <c r="D2012" i="5"/>
  <c r="C2012" i="5"/>
  <c r="B2012" i="5"/>
  <c r="I2011" i="5"/>
  <c r="G2011" i="5"/>
  <c r="F2011" i="5"/>
  <c r="E2011" i="5"/>
  <c r="D2011" i="5"/>
  <c r="C2011" i="5"/>
  <c r="B2011" i="5"/>
  <c r="I2010" i="5"/>
  <c r="G2010" i="5"/>
  <c r="F2010" i="5"/>
  <c r="E2010" i="5"/>
  <c r="D2010" i="5"/>
  <c r="C2010" i="5"/>
  <c r="B2010" i="5"/>
  <c r="I2009" i="5"/>
  <c r="G2009" i="5"/>
  <c r="F2009" i="5"/>
  <c r="E2009" i="5"/>
  <c r="D2009" i="5"/>
  <c r="C2009" i="5"/>
  <c r="B2009" i="5"/>
  <c r="I2008" i="5"/>
  <c r="G2008" i="5"/>
  <c r="F2008" i="5"/>
  <c r="E2008" i="5"/>
  <c r="D2008" i="5"/>
  <c r="C2008" i="5"/>
  <c r="B2008" i="5"/>
  <c r="I2007" i="5"/>
  <c r="G2007" i="5"/>
  <c r="F2007" i="5"/>
  <c r="E2007" i="5"/>
  <c r="D2007" i="5"/>
  <c r="C2007" i="5"/>
  <c r="B2007" i="5"/>
  <c r="I2006" i="5"/>
  <c r="E2006" i="5"/>
  <c r="D2006" i="5"/>
  <c r="C2006" i="5"/>
  <c r="B2006" i="5"/>
  <c r="I2005" i="5"/>
  <c r="G2005" i="5"/>
  <c r="F2005" i="5"/>
  <c r="E2005" i="5"/>
  <c r="D2005" i="5"/>
  <c r="C2005" i="5"/>
  <c r="B2005" i="5"/>
  <c r="I2004" i="5"/>
  <c r="G2004" i="5"/>
  <c r="F2004" i="5"/>
  <c r="E2004" i="5"/>
  <c r="D2004" i="5"/>
  <c r="C2004" i="5"/>
  <c r="B2004" i="5"/>
  <c r="I2003" i="5"/>
  <c r="G2003" i="5"/>
  <c r="F2003" i="5"/>
  <c r="E2003" i="5"/>
  <c r="D2003" i="5"/>
  <c r="C2003" i="5"/>
  <c r="B2003" i="5"/>
  <c r="I2002" i="5"/>
  <c r="G2002" i="5"/>
  <c r="F2002" i="5"/>
  <c r="E2002" i="5"/>
  <c r="D2002" i="5"/>
  <c r="C2002" i="5"/>
  <c r="B2002" i="5"/>
  <c r="I2001" i="5"/>
  <c r="G2001" i="5"/>
  <c r="F2001" i="5"/>
  <c r="E2001" i="5"/>
  <c r="D2001" i="5"/>
  <c r="C2001" i="5"/>
  <c r="B2001" i="5"/>
  <c r="I2000" i="5"/>
  <c r="G2000" i="5"/>
  <c r="F2000" i="5"/>
  <c r="E2000" i="5"/>
  <c r="D2000" i="5"/>
  <c r="C2000" i="5"/>
  <c r="B2000" i="5"/>
  <c r="I1999" i="5"/>
  <c r="G1999" i="5"/>
  <c r="F1999" i="5"/>
  <c r="E1999" i="5"/>
  <c r="D1999" i="5"/>
  <c r="C1999" i="5"/>
  <c r="B1999" i="5"/>
  <c r="I1998" i="5"/>
  <c r="G1998" i="5"/>
  <c r="F1998" i="5"/>
  <c r="E1998" i="5"/>
  <c r="D1998" i="5"/>
  <c r="C1998" i="5"/>
  <c r="B1998" i="5"/>
  <c r="I1997" i="5"/>
  <c r="G1997" i="5"/>
  <c r="F1997" i="5"/>
  <c r="E1997" i="5"/>
  <c r="D1997" i="5"/>
  <c r="C1997" i="5"/>
  <c r="B1997" i="5"/>
  <c r="I1996" i="5"/>
  <c r="G1996" i="5"/>
  <c r="F1996" i="5"/>
  <c r="E1996" i="5"/>
  <c r="D1996" i="5"/>
  <c r="C1996" i="5"/>
  <c r="B1996" i="5"/>
  <c r="I1995" i="5"/>
  <c r="G1995" i="5"/>
  <c r="F1995" i="5"/>
  <c r="E1995" i="5"/>
  <c r="D1995" i="5"/>
  <c r="C1995" i="5"/>
  <c r="B1995" i="5"/>
  <c r="I1994" i="5"/>
  <c r="G1994" i="5"/>
  <c r="F1994" i="5"/>
  <c r="E1994" i="5"/>
  <c r="D1994" i="5"/>
  <c r="C1994" i="5"/>
  <c r="B1994" i="5"/>
  <c r="I1993" i="5"/>
  <c r="E1993" i="5"/>
  <c r="D1993" i="5"/>
  <c r="C1993" i="5"/>
  <c r="B1993" i="5"/>
  <c r="I1992" i="5"/>
  <c r="G1992" i="5"/>
  <c r="F1992" i="5"/>
  <c r="E1992" i="5"/>
  <c r="D1992" i="5"/>
  <c r="C1992" i="5"/>
  <c r="B1992" i="5"/>
  <c r="I1991" i="5"/>
  <c r="G1991" i="5"/>
  <c r="F1991" i="5"/>
  <c r="E1991" i="5"/>
  <c r="D1991" i="5"/>
  <c r="C1991" i="5"/>
  <c r="B1991" i="5"/>
  <c r="I1990" i="5"/>
  <c r="G1990" i="5"/>
  <c r="F1990" i="5"/>
  <c r="E1990" i="5"/>
  <c r="D1990" i="5"/>
  <c r="C1990" i="5"/>
  <c r="B1990" i="5"/>
  <c r="I1989" i="5"/>
  <c r="G1989" i="5"/>
  <c r="F1989" i="5"/>
  <c r="E1989" i="5"/>
  <c r="D1989" i="5"/>
  <c r="C1989" i="5"/>
  <c r="B1989" i="5"/>
  <c r="I1988" i="5"/>
  <c r="G1988" i="5"/>
  <c r="F1988" i="5"/>
  <c r="E1988" i="5"/>
  <c r="D1988" i="5"/>
  <c r="C1988" i="5"/>
  <c r="B1988" i="5"/>
  <c r="I1987" i="5"/>
  <c r="E1987" i="5"/>
  <c r="D1987" i="5"/>
  <c r="C1987" i="5"/>
  <c r="B1987" i="5"/>
  <c r="I1986" i="5"/>
  <c r="G1986" i="5"/>
  <c r="F1986" i="5"/>
  <c r="E1986" i="5"/>
  <c r="D1986" i="5"/>
  <c r="C1986" i="5"/>
  <c r="B1986" i="5"/>
  <c r="I1985" i="5"/>
  <c r="G1985" i="5"/>
  <c r="F1985" i="5"/>
  <c r="E1985" i="5"/>
  <c r="D1985" i="5"/>
  <c r="C1985" i="5"/>
  <c r="B1985" i="5"/>
  <c r="I1984" i="5"/>
  <c r="G1984" i="5"/>
  <c r="F1984" i="5"/>
  <c r="E1984" i="5"/>
  <c r="D1984" i="5"/>
  <c r="C1984" i="5"/>
  <c r="B1984" i="5"/>
  <c r="I1983" i="5"/>
  <c r="G1983" i="5"/>
  <c r="F1983" i="5"/>
  <c r="E1983" i="5"/>
  <c r="D1983" i="5"/>
  <c r="C1983" i="5"/>
  <c r="B1983" i="5"/>
  <c r="I1982" i="5"/>
  <c r="E1982" i="5"/>
  <c r="D1982" i="5"/>
  <c r="C1982" i="5"/>
  <c r="B1982" i="5"/>
  <c r="I1981" i="5"/>
  <c r="E1981" i="5"/>
  <c r="D1981" i="5"/>
  <c r="C1981" i="5"/>
  <c r="B1981" i="5"/>
  <c r="I1980" i="5"/>
  <c r="E1980" i="5"/>
  <c r="D1980" i="5"/>
  <c r="C1980" i="5"/>
  <c r="B1980" i="5"/>
  <c r="I1979" i="5"/>
  <c r="D1979" i="5"/>
  <c r="C1979" i="5"/>
  <c r="B1979" i="5"/>
  <c r="I1978" i="5"/>
  <c r="D1978" i="5"/>
  <c r="C1978" i="5"/>
  <c r="B1978" i="5"/>
  <c r="I1977" i="5"/>
  <c r="G1977" i="5"/>
  <c r="F1977" i="5"/>
  <c r="E1977" i="5"/>
  <c r="D1977" i="5"/>
  <c r="C1977" i="5"/>
  <c r="B1977" i="5"/>
  <c r="I1976" i="5"/>
  <c r="G1976" i="5"/>
  <c r="F1976" i="5"/>
  <c r="E1976" i="5"/>
  <c r="D1976" i="5"/>
  <c r="C1976" i="5"/>
  <c r="B1976" i="5"/>
  <c r="I1975" i="5"/>
  <c r="G1975" i="5"/>
  <c r="F1975" i="5"/>
  <c r="E1975" i="5"/>
  <c r="D1975" i="5"/>
  <c r="C1975" i="5"/>
  <c r="B1975" i="5"/>
  <c r="I1974" i="5"/>
  <c r="G1974" i="5"/>
  <c r="F1974" i="5"/>
  <c r="E1974" i="5"/>
  <c r="D1974" i="5"/>
  <c r="C1974" i="5"/>
  <c r="B1974" i="5"/>
  <c r="I1973" i="5"/>
  <c r="G1973" i="5"/>
  <c r="F1973" i="5"/>
  <c r="E1973" i="5"/>
  <c r="D1973" i="5"/>
  <c r="C1973" i="5"/>
  <c r="B1973" i="5"/>
  <c r="I1972" i="5"/>
  <c r="G1972" i="5"/>
  <c r="F1972" i="5"/>
  <c r="E1972" i="5"/>
  <c r="D1972" i="5"/>
  <c r="C1972" i="5"/>
  <c r="B1972" i="5"/>
  <c r="I1971" i="5"/>
  <c r="G1971" i="5"/>
  <c r="F1971" i="5"/>
  <c r="E1971" i="5"/>
  <c r="D1971" i="5"/>
  <c r="C1971" i="5"/>
  <c r="B1971" i="5"/>
  <c r="I1970" i="5"/>
  <c r="G1970" i="5"/>
  <c r="F1970" i="5"/>
  <c r="E1970" i="5"/>
  <c r="D1970" i="5"/>
  <c r="C1970" i="5"/>
  <c r="B1970" i="5"/>
  <c r="I1969" i="5"/>
  <c r="G1969" i="5"/>
  <c r="F1969" i="5"/>
  <c r="E1969" i="5"/>
  <c r="D1969" i="5"/>
  <c r="C1969" i="5"/>
  <c r="B1969" i="5"/>
  <c r="I1968" i="5"/>
  <c r="G1968" i="5"/>
  <c r="F1968" i="5"/>
  <c r="E1968" i="5"/>
  <c r="D1968" i="5"/>
  <c r="C1968" i="5"/>
  <c r="B1968" i="5"/>
  <c r="I1967" i="5"/>
  <c r="G1967" i="5"/>
  <c r="F1967" i="5"/>
  <c r="E1967" i="5"/>
  <c r="D1967" i="5"/>
  <c r="C1967" i="5"/>
  <c r="B1967" i="5"/>
  <c r="I1966" i="5"/>
  <c r="G1966" i="5"/>
  <c r="F1966" i="5"/>
  <c r="E1966" i="5"/>
  <c r="D1966" i="5"/>
  <c r="C1966" i="5"/>
  <c r="B1966" i="5"/>
  <c r="I1965" i="5"/>
  <c r="G1965" i="5"/>
  <c r="F1965" i="5"/>
  <c r="E1965" i="5"/>
  <c r="D1965" i="5"/>
  <c r="C1965" i="5"/>
  <c r="B1965" i="5"/>
  <c r="I1964" i="5"/>
  <c r="G1964" i="5"/>
  <c r="F1964" i="5"/>
  <c r="E1964" i="5"/>
  <c r="D1964" i="5"/>
  <c r="C1964" i="5"/>
  <c r="B1964" i="5"/>
  <c r="I1963" i="5"/>
  <c r="G1963" i="5"/>
  <c r="F1963" i="5"/>
  <c r="E1963" i="5"/>
  <c r="D1963" i="5"/>
  <c r="C1963" i="5"/>
  <c r="B1963" i="5"/>
  <c r="I1962" i="5"/>
  <c r="G1962" i="5"/>
  <c r="F1962" i="5"/>
  <c r="E1962" i="5"/>
  <c r="D1962" i="5"/>
  <c r="C1962" i="5"/>
  <c r="B1962" i="5"/>
  <c r="I1961" i="5"/>
  <c r="G1961" i="5"/>
  <c r="F1961" i="5"/>
  <c r="E1961" i="5"/>
  <c r="D1961" i="5"/>
  <c r="C1961" i="5"/>
  <c r="B1961" i="5"/>
  <c r="I1960" i="5"/>
  <c r="G1960" i="5"/>
  <c r="F1960" i="5"/>
  <c r="E1960" i="5"/>
  <c r="D1960" i="5"/>
  <c r="C1960" i="5"/>
  <c r="B1960" i="5"/>
  <c r="I1959" i="5"/>
  <c r="G1959" i="5"/>
  <c r="F1959" i="5"/>
  <c r="E1959" i="5"/>
  <c r="D1959" i="5"/>
  <c r="C1959" i="5"/>
  <c r="B1959" i="5"/>
  <c r="I1958" i="5"/>
  <c r="G1958" i="5"/>
  <c r="F1958" i="5"/>
  <c r="E1958" i="5"/>
  <c r="D1958" i="5"/>
  <c r="C1958" i="5"/>
  <c r="B1958" i="5"/>
  <c r="I1957" i="5"/>
  <c r="G1957" i="5"/>
  <c r="F1957" i="5"/>
  <c r="E1957" i="5"/>
  <c r="D1957" i="5"/>
  <c r="C1957" i="5"/>
  <c r="B1957" i="5"/>
  <c r="I1956" i="5"/>
  <c r="H1956" i="5"/>
  <c r="G1956" i="5"/>
  <c r="F1956" i="5"/>
  <c r="E1956" i="5"/>
  <c r="D1956" i="5"/>
  <c r="C1956" i="5"/>
  <c r="B1956" i="5"/>
  <c r="I1955" i="5"/>
  <c r="H1955" i="5"/>
  <c r="G1955" i="5"/>
  <c r="F1955" i="5"/>
  <c r="E1955" i="5"/>
  <c r="D1955" i="5"/>
  <c r="C1955" i="5"/>
  <c r="B1955" i="5"/>
  <c r="I1954" i="5"/>
  <c r="H1954" i="5"/>
  <c r="G1954" i="5"/>
  <c r="F1954" i="5"/>
  <c r="E1954" i="5"/>
  <c r="D1954" i="5"/>
  <c r="C1954" i="5"/>
  <c r="B1954" i="5"/>
  <c r="I1953" i="5"/>
  <c r="H1953" i="5"/>
  <c r="G1953" i="5"/>
  <c r="F1953" i="5"/>
  <c r="E1953" i="5"/>
  <c r="D1953" i="5"/>
  <c r="C1953" i="5"/>
  <c r="B1953" i="5"/>
  <c r="I1952" i="5"/>
  <c r="H1952" i="5"/>
  <c r="G1952" i="5"/>
  <c r="F1952" i="5"/>
  <c r="E1952" i="5"/>
  <c r="D1952" i="5"/>
  <c r="C1952" i="5"/>
  <c r="B1952" i="5"/>
  <c r="I1951" i="5"/>
  <c r="H1951" i="5"/>
  <c r="G1951" i="5"/>
  <c r="F1951" i="5"/>
  <c r="E1951" i="5"/>
  <c r="D1951" i="5"/>
  <c r="C1951" i="5"/>
  <c r="B1951" i="5"/>
  <c r="I1950" i="5"/>
  <c r="H1950" i="5"/>
  <c r="G1950" i="5"/>
  <c r="F1950" i="5"/>
  <c r="E1950" i="5"/>
  <c r="D1950" i="5"/>
  <c r="C1950" i="5"/>
  <c r="B1950" i="5"/>
  <c r="I1949" i="5"/>
  <c r="H1949" i="5"/>
  <c r="G1949" i="5"/>
  <c r="F1949" i="5"/>
  <c r="E1949" i="5"/>
  <c r="D1949" i="5"/>
  <c r="C1949" i="5"/>
  <c r="B1949" i="5"/>
  <c r="I1948" i="5"/>
  <c r="H1948" i="5"/>
  <c r="G1948" i="5"/>
  <c r="F1948" i="5"/>
  <c r="E1948" i="5"/>
  <c r="D1948" i="5"/>
  <c r="C1948" i="5"/>
  <c r="B1948" i="5"/>
  <c r="I1947" i="5"/>
  <c r="H1947" i="5"/>
  <c r="G1947" i="5"/>
  <c r="F1947" i="5"/>
  <c r="E1947" i="5"/>
  <c r="D1947" i="5"/>
  <c r="C1947" i="5"/>
  <c r="B1947" i="5"/>
  <c r="I1946" i="5"/>
  <c r="H1946" i="5"/>
  <c r="G1946" i="5"/>
  <c r="F1946" i="5"/>
  <c r="E1946" i="5"/>
  <c r="D1946" i="5"/>
  <c r="C1946" i="5"/>
  <c r="B1946" i="5"/>
  <c r="I1945" i="5"/>
  <c r="H1945" i="5"/>
  <c r="G1945" i="5"/>
  <c r="F1945" i="5"/>
  <c r="E1945" i="5"/>
  <c r="D1945" i="5"/>
  <c r="C1945" i="5"/>
  <c r="B1945" i="5"/>
  <c r="I1944" i="5"/>
  <c r="H1944" i="5"/>
  <c r="G1944" i="5"/>
  <c r="F1944" i="5"/>
  <c r="E1944" i="5"/>
  <c r="D1944" i="5"/>
  <c r="C1944" i="5"/>
  <c r="B1944" i="5"/>
  <c r="I1943" i="5"/>
  <c r="H1943" i="5"/>
  <c r="G1943" i="5"/>
  <c r="F1943" i="5"/>
  <c r="E1943" i="5"/>
  <c r="D1943" i="5"/>
  <c r="C1943" i="5"/>
  <c r="B1943" i="5"/>
  <c r="I1942" i="5"/>
  <c r="H1942" i="5"/>
  <c r="G1942" i="5"/>
  <c r="F1942" i="5"/>
  <c r="E1942" i="5"/>
  <c r="D1942" i="5"/>
  <c r="C1942" i="5"/>
  <c r="B1942" i="5"/>
  <c r="I1941" i="5"/>
  <c r="H1941" i="5"/>
  <c r="G1941" i="5"/>
  <c r="F1941" i="5"/>
  <c r="E1941" i="5"/>
  <c r="D1941" i="5"/>
  <c r="C1941" i="5"/>
  <c r="B1941" i="5"/>
  <c r="I1940" i="5"/>
  <c r="H1940" i="5"/>
  <c r="G1940" i="5"/>
  <c r="F1940" i="5"/>
  <c r="E1940" i="5"/>
  <c r="D1940" i="5"/>
  <c r="C1940" i="5"/>
  <c r="B1940" i="5"/>
  <c r="I1939" i="5"/>
  <c r="H1939" i="5"/>
  <c r="G1939" i="5"/>
  <c r="F1939" i="5"/>
  <c r="E1939" i="5"/>
  <c r="D1939" i="5"/>
  <c r="C1939" i="5"/>
  <c r="B1939" i="5"/>
  <c r="I1938" i="5"/>
  <c r="H1938" i="5"/>
  <c r="G1938" i="5"/>
  <c r="F1938" i="5"/>
  <c r="E1938" i="5"/>
  <c r="D1938" i="5"/>
  <c r="C1938" i="5"/>
  <c r="B1938" i="5"/>
  <c r="I1937" i="5"/>
  <c r="H1937" i="5"/>
  <c r="G1937" i="5"/>
  <c r="F1937" i="5"/>
  <c r="E1937" i="5"/>
  <c r="D1937" i="5"/>
  <c r="C1937" i="5"/>
  <c r="B1937" i="5"/>
  <c r="I1936" i="5"/>
  <c r="H1936" i="5"/>
  <c r="G1936" i="5"/>
  <c r="F1936" i="5"/>
  <c r="E1936" i="5"/>
  <c r="D1936" i="5"/>
  <c r="C1936" i="5"/>
  <c r="B1936" i="5"/>
  <c r="I1935" i="5"/>
  <c r="H1935" i="5"/>
  <c r="G1935" i="5"/>
  <c r="F1935" i="5"/>
  <c r="E1935" i="5"/>
  <c r="D1935" i="5"/>
  <c r="C1935" i="5"/>
  <c r="B1935" i="5"/>
  <c r="I1934" i="5"/>
  <c r="H1934" i="5"/>
  <c r="G1934" i="5"/>
  <c r="F1934" i="5"/>
  <c r="E1934" i="5"/>
  <c r="D1934" i="5"/>
  <c r="C1934" i="5"/>
  <c r="B1934" i="5"/>
  <c r="I1933" i="5"/>
  <c r="H1933" i="5"/>
  <c r="G1933" i="5"/>
  <c r="F1933" i="5"/>
  <c r="E1933" i="5"/>
  <c r="D1933" i="5"/>
  <c r="C1933" i="5"/>
  <c r="B1933" i="5"/>
  <c r="I1932" i="5"/>
  <c r="H1932" i="5"/>
  <c r="G1932" i="5"/>
  <c r="F1932" i="5"/>
  <c r="E1932" i="5"/>
  <c r="D1932" i="5"/>
  <c r="C1932" i="5"/>
  <c r="B1932" i="5"/>
  <c r="I1931" i="5"/>
  <c r="H1931" i="5"/>
  <c r="G1931" i="5"/>
  <c r="F1931" i="5"/>
  <c r="E1931" i="5"/>
  <c r="D1931" i="5"/>
  <c r="C1931" i="5"/>
  <c r="B1931" i="5"/>
  <c r="I1930" i="5"/>
  <c r="H1930" i="5"/>
  <c r="G1930" i="5"/>
  <c r="F1930" i="5"/>
  <c r="E1930" i="5"/>
  <c r="D1930" i="5"/>
  <c r="C1930" i="5"/>
  <c r="B1930" i="5"/>
  <c r="I1929" i="5"/>
  <c r="H1929" i="5"/>
  <c r="G1929" i="5"/>
  <c r="F1929" i="5"/>
  <c r="E1929" i="5"/>
  <c r="D1929" i="5"/>
  <c r="C1929" i="5"/>
  <c r="B1929" i="5"/>
  <c r="I1928" i="5"/>
  <c r="H1928" i="5"/>
  <c r="G1928" i="5"/>
  <c r="F1928" i="5"/>
  <c r="E1928" i="5"/>
  <c r="D1928" i="5"/>
  <c r="C1928" i="5"/>
  <c r="B1928" i="5"/>
  <c r="I1927" i="5"/>
  <c r="H1927" i="5"/>
  <c r="G1927" i="5"/>
  <c r="F1927" i="5"/>
  <c r="E1927" i="5"/>
  <c r="D1927" i="5"/>
  <c r="C1927" i="5"/>
  <c r="B1927" i="5"/>
  <c r="I1926" i="5"/>
  <c r="H1926" i="5"/>
  <c r="G1926" i="5"/>
  <c r="F1926" i="5"/>
  <c r="E1926" i="5"/>
  <c r="D1926" i="5"/>
  <c r="C1926" i="5"/>
  <c r="B1926" i="5"/>
  <c r="I1925" i="5"/>
  <c r="H1925" i="5"/>
  <c r="G1925" i="5"/>
  <c r="F1925" i="5"/>
  <c r="E1925" i="5"/>
  <c r="D1925" i="5"/>
  <c r="C1925" i="5"/>
  <c r="B1925" i="5"/>
  <c r="I1924" i="5"/>
  <c r="H1924" i="5"/>
  <c r="G1924" i="5"/>
  <c r="F1924" i="5"/>
  <c r="E1924" i="5"/>
  <c r="D1924" i="5"/>
  <c r="C1924" i="5"/>
  <c r="B1924" i="5"/>
  <c r="I1923" i="5"/>
  <c r="H1923" i="5"/>
  <c r="G1923" i="5"/>
  <c r="F1923" i="5"/>
  <c r="E1923" i="5"/>
  <c r="D1923" i="5"/>
  <c r="C1923" i="5"/>
  <c r="B1923" i="5"/>
  <c r="I1922" i="5"/>
  <c r="H1922" i="5"/>
  <c r="G1922" i="5"/>
  <c r="F1922" i="5"/>
  <c r="E1922" i="5"/>
  <c r="D1922" i="5"/>
  <c r="C1922" i="5"/>
  <c r="B1922" i="5"/>
  <c r="I1921" i="5"/>
  <c r="H1921" i="5"/>
  <c r="G1921" i="5"/>
  <c r="F1921" i="5"/>
  <c r="E1921" i="5"/>
  <c r="D1921" i="5"/>
  <c r="C1921" i="5"/>
  <c r="B1921" i="5"/>
  <c r="I1920" i="5"/>
  <c r="H1920" i="5"/>
  <c r="G1920" i="5"/>
  <c r="F1920" i="5"/>
  <c r="E1920" i="5"/>
  <c r="D1920" i="5"/>
  <c r="C1920" i="5"/>
  <c r="B1920" i="5"/>
  <c r="I1919" i="5"/>
  <c r="H1919" i="5"/>
  <c r="G1919" i="5"/>
  <c r="F1919" i="5"/>
  <c r="E1919" i="5"/>
  <c r="D1919" i="5"/>
  <c r="C1919" i="5"/>
  <c r="B1919" i="5"/>
  <c r="I1918" i="5"/>
  <c r="H1918" i="5"/>
  <c r="G1918" i="5"/>
  <c r="F1918" i="5"/>
  <c r="E1918" i="5"/>
  <c r="D1918" i="5"/>
  <c r="C1918" i="5"/>
  <c r="B1918" i="5"/>
  <c r="I1917" i="5"/>
  <c r="H1917" i="5"/>
  <c r="G1917" i="5"/>
  <c r="F1917" i="5"/>
  <c r="E1917" i="5"/>
  <c r="D1917" i="5"/>
  <c r="C1917" i="5"/>
  <c r="B1917" i="5"/>
  <c r="I1916" i="5"/>
  <c r="H1916" i="5"/>
  <c r="G1916" i="5"/>
  <c r="F1916" i="5"/>
  <c r="E1916" i="5"/>
  <c r="D1916" i="5"/>
  <c r="C1916" i="5"/>
  <c r="B1916" i="5"/>
  <c r="I1915" i="5"/>
  <c r="H1915" i="5"/>
  <c r="G1915" i="5"/>
  <c r="F1915" i="5"/>
  <c r="E1915" i="5"/>
  <c r="D1915" i="5"/>
  <c r="C1915" i="5"/>
  <c r="B1915" i="5"/>
  <c r="I1914" i="5"/>
  <c r="H1914" i="5"/>
  <c r="G1914" i="5"/>
  <c r="F1914" i="5"/>
  <c r="E1914" i="5"/>
  <c r="D1914" i="5"/>
  <c r="C1914" i="5"/>
  <c r="B1914" i="5"/>
  <c r="I1913" i="5"/>
  <c r="H1913" i="5"/>
  <c r="G1913" i="5"/>
  <c r="F1913" i="5"/>
  <c r="E1913" i="5"/>
  <c r="D1913" i="5"/>
  <c r="C1913" i="5"/>
  <c r="B1913" i="5"/>
  <c r="I1912" i="5"/>
  <c r="H1912" i="5"/>
  <c r="G1912" i="5"/>
  <c r="F1912" i="5"/>
  <c r="E1912" i="5"/>
  <c r="D1912" i="5"/>
  <c r="C1912" i="5"/>
  <c r="B1912" i="5"/>
  <c r="I1911" i="5"/>
  <c r="H1911" i="5"/>
  <c r="G1911" i="5"/>
  <c r="F1911" i="5"/>
  <c r="E1911" i="5"/>
  <c r="D1911" i="5"/>
  <c r="C1911" i="5"/>
  <c r="B1911" i="5"/>
  <c r="I1910" i="5"/>
  <c r="H1910" i="5"/>
  <c r="G1910" i="5"/>
  <c r="F1910" i="5"/>
  <c r="E1910" i="5"/>
  <c r="D1910" i="5"/>
  <c r="C1910" i="5"/>
  <c r="B1910" i="5"/>
  <c r="I1909" i="5"/>
  <c r="H1909" i="5"/>
  <c r="G1909" i="5"/>
  <c r="F1909" i="5"/>
  <c r="E1909" i="5"/>
  <c r="D1909" i="5"/>
  <c r="C1909" i="5"/>
  <c r="B1909" i="5"/>
  <c r="I1908" i="5"/>
  <c r="H1908" i="5"/>
  <c r="G1908" i="5"/>
  <c r="F1908" i="5"/>
  <c r="E1908" i="5"/>
  <c r="D1908" i="5"/>
  <c r="C1908" i="5"/>
  <c r="B1908" i="5"/>
  <c r="I1907" i="5"/>
  <c r="H1907" i="5"/>
  <c r="G1907" i="5"/>
  <c r="F1907" i="5"/>
  <c r="E1907" i="5"/>
  <c r="D1907" i="5"/>
  <c r="C1907" i="5"/>
  <c r="B1907" i="5"/>
  <c r="I1906" i="5"/>
  <c r="H1906" i="5"/>
  <c r="G1906" i="5"/>
  <c r="F1906" i="5"/>
  <c r="E1906" i="5"/>
  <c r="D1906" i="5"/>
  <c r="C1906" i="5"/>
  <c r="B1906" i="5"/>
  <c r="I1905" i="5"/>
  <c r="H1905" i="5"/>
  <c r="G1905" i="5"/>
  <c r="F1905" i="5"/>
  <c r="E1905" i="5"/>
  <c r="D1905" i="5"/>
  <c r="C1905" i="5"/>
  <c r="B1905" i="5"/>
  <c r="I1904" i="5"/>
  <c r="H1904" i="5"/>
  <c r="G1904" i="5"/>
  <c r="F1904" i="5"/>
  <c r="E1904" i="5"/>
  <c r="D1904" i="5"/>
  <c r="C1904" i="5"/>
  <c r="B1904" i="5"/>
  <c r="I1903" i="5"/>
  <c r="H1903" i="5"/>
  <c r="G1903" i="5"/>
  <c r="F1903" i="5"/>
  <c r="E1903" i="5"/>
  <c r="D1903" i="5"/>
  <c r="C1903" i="5"/>
  <c r="B1903" i="5"/>
  <c r="I1902" i="5"/>
  <c r="H1902" i="5"/>
  <c r="G1902" i="5"/>
  <c r="F1902" i="5"/>
  <c r="E1902" i="5"/>
  <c r="D1902" i="5"/>
  <c r="C1902" i="5"/>
  <c r="B1902" i="5"/>
  <c r="I1901" i="5"/>
  <c r="H1901" i="5"/>
  <c r="G1901" i="5"/>
  <c r="F1901" i="5"/>
  <c r="E1901" i="5"/>
  <c r="D1901" i="5"/>
  <c r="C1901" i="5"/>
  <c r="B1901" i="5"/>
  <c r="I1900" i="5"/>
  <c r="H1900" i="5"/>
  <c r="G1900" i="5"/>
  <c r="F1900" i="5"/>
  <c r="E1900" i="5"/>
  <c r="D1900" i="5"/>
  <c r="C1900" i="5"/>
  <c r="B1900" i="5"/>
  <c r="I1899" i="5"/>
  <c r="H1899" i="5"/>
  <c r="G1899" i="5"/>
  <c r="F1899" i="5"/>
  <c r="E1899" i="5"/>
  <c r="D1899" i="5"/>
  <c r="C1899" i="5"/>
  <c r="B1899" i="5"/>
  <c r="I1898" i="5"/>
  <c r="H1898" i="5"/>
  <c r="G1898" i="5"/>
  <c r="F1898" i="5"/>
  <c r="E1898" i="5"/>
  <c r="D1898" i="5"/>
  <c r="C1898" i="5"/>
  <c r="B1898" i="5"/>
  <c r="I1897" i="5"/>
  <c r="H1897" i="5"/>
  <c r="G1897" i="5"/>
  <c r="F1897" i="5"/>
  <c r="E1897" i="5"/>
  <c r="D1897" i="5"/>
  <c r="C1897" i="5"/>
  <c r="B1897" i="5"/>
  <c r="I1896" i="5"/>
  <c r="H1896" i="5"/>
  <c r="G1896" i="5"/>
  <c r="F1896" i="5"/>
  <c r="E1896" i="5"/>
  <c r="D1896" i="5"/>
  <c r="C1896" i="5"/>
  <c r="B1896" i="5"/>
  <c r="I1895" i="5"/>
  <c r="H1895" i="5"/>
  <c r="G1895" i="5"/>
  <c r="F1895" i="5"/>
  <c r="E1895" i="5"/>
  <c r="D1895" i="5"/>
  <c r="C1895" i="5"/>
  <c r="B1895" i="5"/>
  <c r="I1894" i="5"/>
  <c r="H1894" i="5"/>
  <c r="G1894" i="5"/>
  <c r="F1894" i="5"/>
  <c r="E1894" i="5"/>
  <c r="D1894" i="5"/>
  <c r="C1894" i="5"/>
  <c r="B1894" i="5"/>
  <c r="I1893" i="5"/>
  <c r="H1893" i="5"/>
  <c r="G1893" i="5"/>
  <c r="F1893" i="5"/>
  <c r="E1893" i="5"/>
  <c r="D1893" i="5"/>
  <c r="C1893" i="5"/>
  <c r="B1893" i="5"/>
  <c r="I1892" i="5"/>
  <c r="H1892" i="5"/>
  <c r="G1892" i="5"/>
  <c r="F1892" i="5"/>
  <c r="E1892" i="5"/>
  <c r="D1892" i="5"/>
  <c r="C1892" i="5"/>
  <c r="B1892" i="5"/>
  <c r="I1891" i="5"/>
  <c r="H1891" i="5"/>
  <c r="G1891" i="5"/>
  <c r="F1891" i="5"/>
  <c r="E1891" i="5"/>
  <c r="D1891" i="5"/>
  <c r="C1891" i="5"/>
  <c r="B1891" i="5"/>
  <c r="I1890" i="5"/>
  <c r="H1890" i="5"/>
  <c r="G1890" i="5"/>
  <c r="F1890" i="5"/>
  <c r="E1890" i="5"/>
  <c r="D1890" i="5"/>
  <c r="C1890" i="5"/>
  <c r="B1890" i="5"/>
  <c r="I1889" i="5"/>
  <c r="H1889" i="5"/>
  <c r="G1889" i="5"/>
  <c r="F1889" i="5"/>
  <c r="E1889" i="5"/>
  <c r="D1889" i="5"/>
  <c r="C1889" i="5"/>
  <c r="B1889" i="5"/>
  <c r="I1888" i="5"/>
  <c r="H1888" i="5"/>
  <c r="G1888" i="5"/>
  <c r="F1888" i="5"/>
  <c r="E1888" i="5"/>
  <c r="D1888" i="5"/>
  <c r="C1888" i="5"/>
  <c r="B1888" i="5"/>
  <c r="I1887" i="5"/>
  <c r="H1887" i="5"/>
  <c r="G1887" i="5"/>
  <c r="F1887" i="5"/>
  <c r="E1887" i="5"/>
  <c r="D1887" i="5"/>
  <c r="C1887" i="5"/>
  <c r="B1887" i="5"/>
  <c r="I1886" i="5"/>
  <c r="H1886" i="5"/>
  <c r="G1886" i="5"/>
  <c r="F1886" i="5"/>
  <c r="E1886" i="5"/>
  <c r="D1886" i="5"/>
  <c r="C1886" i="5"/>
  <c r="B1886" i="5"/>
  <c r="I1885" i="5"/>
  <c r="H1885" i="5"/>
  <c r="G1885" i="5"/>
  <c r="F1885" i="5"/>
  <c r="E1885" i="5"/>
  <c r="D1885" i="5"/>
  <c r="C1885" i="5"/>
  <c r="B1885" i="5"/>
  <c r="I1884" i="5"/>
  <c r="H1884" i="5"/>
  <c r="G1884" i="5"/>
  <c r="F1884" i="5"/>
  <c r="E1884" i="5"/>
  <c r="D1884" i="5"/>
  <c r="C1884" i="5"/>
  <c r="B1884" i="5"/>
  <c r="I1883" i="5"/>
  <c r="H1883" i="5"/>
  <c r="G1883" i="5"/>
  <c r="F1883" i="5"/>
  <c r="E1883" i="5"/>
  <c r="D1883" i="5"/>
  <c r="C1883" i="5"/>
  <c r="B1883" i="5"/>
  <c r="I1882" i="5"/>
  <c r="H1882" i="5"/>
  <c r="G1882" i="5"/>
  <c r="F1882" i="5"/>
  <c r="E1882" i="5"/>
  <c r="D1882" i="5"/>
  <c r="C1882" i="5"/>
  <c r="B1882" i="5"/>
  <c r="I1881" i="5"/>
  <c r="H1881" i="5"/>
  <c r="G1881" i="5"/>
  <c r="F1881" i="5"/>
  <c r="E1881" i="5"/>
  <c r="D1881" i="5"/>
  <c r="C1881" i="5"/>
  <c r="B1881" i="5"/>
  <c r="I1880" i="5"/>
  <c r="H1880" i="5"/>
  <c r="G1880" i="5"/>
  <c r="F1880" i="5"/>
  <c r="E1880" i="5"/>
  <c r="D1880" i="5"/>
  <c r="C1880" i="5"/>
  <c r="B1880" i="5"/>
  <c r="I1879" i="5"/>
  <c r="H1879" i="5"/>
  <c r="G1879" i="5"/>
  <c r="F1879" i="5"/>
  <c r="E1879" i="5"/>
  <c r="D1879" i="5"/>
  <c r="C1879" i="5"/>
  <c r="B1879" i="5"/>
  <c r="I1878" i="5"/>
  <c r="H1878" i="5"/>
  <c r="G1878" i="5"/>
  <c r="F1878" i="5"/>
  <c r="E1878" i="5"/>
  <c r="D1878" i="5"/>
  <c r="C1878" i="5"/>
  <c r="B1878" i="5"/>
  <c r="I1877" i="5"/>
  <c r="H1877" i="5"/>
  <c r="G1877" i="5"/>
  <c r="F1877" i="5"/>
  <c r="E1877" i="5"/>
  <c r="D1877" i="5"/>
  <c r="C1877" i="5"/>
  <c r="B1877" i="5"/>
  <c r="I1876" i="5"/>
  <c r="H1876" i="5"/>
  <c r="G1876" i="5"/>
  <c r="F1876" i="5"/>
  <c r="E1876" i="5"/>
  <c r="D1876" i="5"/>
  <c r="C1876" i="5"/>
  <c r="B1876" i="5"/>
  <c r="I1875" i="5"/>
  <c r="H1875" i="5"/>
  <c r="G1875" i="5"/>
  <c r="F1875" i="5"/>
  <c r="E1875" i="5"/>
  <c r="D1875" i="5"/>
  <c r="C1875" i="5"/>
  <c r="B1875" i="5"/>
  <c r="I1874" i="5"/>
  <c r="H1874" i="5"/>
  <c r="G1874" i="5"/>
  <c r="F1874" i="5"/>
  <c r="E1874" i="5"/>
  <c r="D1874" i="5"/>
  <c r="C1874" i="5"/>
  <c r="B1874" i="5"/>
  <c r="I1873" i="5"/>
  <c r="H1873" i="5"/>
  <c r="G1873" i="5"/>
  <c r="F1873" i="5"/>
  <c r="E1873" i="5"/>
  <c r="D1873" i="5"/>
  <c r="C1873" i="5"/>
  <c r="B1873" i="5"/>
  <c r="I1872" i="5"/>
  <c r="H1872" i="5"/>
  <c r="G1872" i="5"/>
  <c r="F1872" i="5"/>
  <c r="E1872" i="5"/>
  <c r="D1872" i="5"/>
  <c r="C1872" i="5"/>
  <c r="B1872" i="5"/>
  <c r="I1871" i="5"/>
  <c r="H1871" i="5"/>
  <c r="G1871" i="5"/>
  <c r="F1871" i="5"/>
  <c r="E1871" i="5"/>
  <c r="D1871" i="5"/>
  <c r="C1871" i="5"/>
  <c r="B1871" i="5"/>
  <c r="I1870" i="5"/>
  <c r="H1870" i="5"/>
  <c r="G1870" i="5"/>
  <c r="F1870" i="5"/>
  <c r="E1870" i="5"/>
  <c r="D1870" i="5"/>
  <c r="C1870" i="5"/>
  <c r="B1870" i="5"/>
  <c r="I1869" i="5"/>
  <c r="H1869" i="5"/>
  <c r="G1869" i="5"/>
  <c r="F1869" i="5"/>
  <c r="E1869" i="5"/>
  <c r="D1869" i="5"/>
  <c r="C1869" i="5"/>
  <c r="B1869" i="5"/>
  <c r="I1868" i="5"/>
  <c r="H1868" i="5"/>
  <c r="G1868" i="5"/>
  <c r="F1868" i="5"/>
  <c r="E1868" i="5"/>
  <c r="D1868" i="5"/>
  <c r="C1868" i="5"/>
  <c r="B1868" i="5"/>
  <c r="I1867" i="5"/>
  <c r="H1867" i="5"/>
  <c r="G1867" i="5"/>
  <c r="F1867" i="5"/>
  <c r="E1867" i="5"/>
  <c r="D1867" i="5"/>
  <c r="C1867" i="5"/>
  <c r="B1867" i="5"/>
  <c r="I1866" i="5"/>
  <c r="H1866" i="5"/>
  <c r="G1866" i="5"/>
  <c r="F1866" i="5"/>
  <c r="E1866" i="5"/>
  <c r="D1866" i="5"/>
  <c r="C1866" i="5"/>
  <c r="B1866" i="5"/>
  <c r="I1865" i="5"/>
  <c r="H1865" i="5"/>
  <c r="G1865" i="5"/>
  <c r="F1865" i="5"/>
  <c r="E1865" i="5"/>
  <c r="D1865" i="5"/>
  <c r="C1865" i="5"/>
  <c r="B1865" i="5"/>
  <c r="I1864" i="5"/>
  <c r="H1864" i="5"/>
  <c r="G1864" i="5"/>
  <c r="F1864" i="5"/>
  <c r="E1864" i="5"/>
  <c r="D1864" i="5"/>
  <c r="C1864" i="5"/>
  <c r="B1864" i="5"/>
  <c r="I1863" i="5"/>
  <c r="H1863" i="5"/>
  <c r="G1863" i="5"/>
  <c r="F1863" i="5"/>
  <c r="E1863" i="5"/>
  <c r="D1863" i="5"/>
  <c r="C1863" i="5"/>
  <c r="B1863" i="5"/>
  <c r="I1862" i="5"/>
  <c r="H1862" i="5"/>
  <c r="G1862" i="5"/>
  <c r="F1862" i="5"/>
  <c r="E1862" i="5"/>
  <c r="D1862" i="5"/>
  <c r="C1862" i="5"/>
  <c r="B1862" i="5"/>
  <c r="I1861" i="5"/>
  <c r="H1861" i="5"/>
  <c r="G1861" i="5"/>
  <c r="F1861" i="5"/>
  <c r="E1861" i="5"/>
  <c r="D1861" i="5"/>
  <c r="C1861" i="5"/>
  <c r="B1861" i="5"/>
  <c r="I1860" i="5"/>
  <c r="H1860" i="5"/>
  <c r="G1860" i="5"/>
  <c r="F1860" i="5"/>
  <c r="E1860" i="5"/>
  <c r="D1860" i="5"/>
  <c r="C1860" i="5"/>
  <c r="B1860" i="5"/>
  <c r="I1859" i="5"/>
  <c r="H1859" i="5"/>
  <c r="G1859" i="5"/>
  <c r="F1859" i="5"/>
  <c r="E1859" i="5"/>
  <c r="D1859" i="5"/>
  <c r="C1859" i="5"/>
  <c r="B1859" i="5"/>
  <c r="I1858" i="5"/>
  <c r="H1858" i="5"/>
  <c r="G1858" i="5"/>
  <c r="F1858" i="5"/>
  <c r="E1858" i="5"/>
  <c r="D1858" i="5"/>
  <c r="C1858" i="5"/>
  <c r="B1858" i="5"/>
  <c r="I1857" i="5"/>
  <c r="E1857" i="5"/>
  <c r="D1857" i="5"/>
  <c r="C1857" i="5"/>
  <c r="B1857" i="5"/>
  <c r="I1856" i="5"/>
  <c r="E1856" i="5"/>
  <c r="D1856" i="5"/>
  <c r="C1856" i="5"/>
  <c r="B1856" i="5"/>
  <c r="I1855" i="5"/>
  <c r="H1855" i="5"/>
  <c r="G1855" i="5"/>
  <c r="F1855" i="5"/>
  <c r="E1855" i="5"/>
  <c r="D1855" i="5"/>
  <c r="C1855" i="5"/>
  <c r="B1855" i="5"/>
  <c r="I1854" i="5"/>
  <c r="H1854" i="5"/>
  <c r="G1854" i="5"/>
  <c r="F1854" i="5"/>
  <c r="E1854" i="5"/>
  <c r="D1854" i="5"/>
  <c r="C1854" i="5"/>
  <c r="B1854" i="5"/>
  <c r="I1853" i="5"/>
  <c r="H1853" i="5"/>
  <c r="G1853" i="5"/>
  <c r="F1853" i="5"/>
  <c r="E1853" i="5"/>
  <c r="D1853" i="5"/>
  <c r="C1853" i="5"/>
  <c r="B1853" i="5"/>
  <c r="I1852" i="5"/>
  <c r="H1852" i="5"/>
  <c r="G1852" i="5"/>
  <c r="F1852" i="5"/>
  <c r="E1852" i="5"/>
  <c r="D1852" i="5"/>
  <c r="C1852" i="5"/>
  <c r="B1852" i="5"/>
  <c r="I1851" i="5"/>
  <c r="H1851" i="5"/>
  <c r="G1851" i="5"/>
  <c r="F1851" i="5"/>
  <c r="E1851" i="5"/>
  <c r="D1851" i="5"/>
  <c r="C1851" i="5"/>
  <c r="B1851" i="5"/>
  <c r="I1850" i="5"/>
  <c r="H1850" i="5"/>
  <c r="G1850" i="5"/>
  <c r="F1850" i="5"/>
  <c r="E1850" i="5"/>
  <c r="D1850" i="5"/>
  <c r="C1850" i="5"/>
  <c r="B1850" i="5"/>
  <c r="I1849" i="5"/>
  <c r="H1849" i="5"/>
  <c r="G1849" i="5"/>
  <c r="F1849" i="5"/>
  <c r="E1849" i="5"/>
  <c r="D1849" i="5"/>
  <c r="C1849" i="5"/>
  <c r="B1849" i="5"/>
  <c r="I1848" i="5"/>
  <c r="H1848" i="5"/>
  <c r="G1848" i="5"/>
  <c r="F1848" i="5"/>
  <c r="E1848" i="5"/>
  <c r="D1848" i="5"/>
  <c r="C1848" i="5"/>
  <c r="B1848" i="5"/>
  <c r="I1847" i="5"/>
  <c r="H1847" i="5"/>
  <c r="G1847" i="5"/>
  <c r="F1847" i="5"/>
  <c r="E1847" i="5"/>
  <c r="D1847" i="5"/>
  <c r="C1847" i="5"/>
  <c r="B1847" i="5"/>
  <c r="I1846" i="5"/>
  <c r="H1846" i="5"/>
  <c r="G1846" i="5"/>
  <c r="F1846" i="5"/>
  <c r="E1846" i="5"/>
  <c r="D1846" i="5"/>
  <c r="C1846" i="5"/>
  <c r="B1846" i="5"/>
  <c r="I1845" i="5"/>
  <c r="H1845" i="5"/>
  <c r="G1845" i="5"/>
  <c r="F1845" i="5"/>
  <c r="E1845" i="5"/>
  <c r="D1845" i="5"/>
  <c r="C1845" i="5"/>
  <c r="B1845" i="5"/>
  <c r="I1844" i="5"/>
  <c r="H1844" i="5"/>
  <c r="G1844" i="5"/>
  <c r="F1844" i="5"/>
  <c r="E1844" i="5"/>
  <c r="D1844" i="5"/>
  <c r="C1844" i="5"/>
  <c r="B1844" i="5"/>
  <c r="I1843" i="5"/>
  <c r="H1843" i="5"/>
  <c r="G1843" i="5"/>
  <c r="F1843" i="5"/>
  <c r="E1843" i="5"/>
  <c r="D1843" i="5"/>
  <c r="C1843" i="5"/>
  <c r="B1843" i="5"/>
  <c r="I1842" i="5"/>
  <c r="H1842" i="5"/>
  <c r="G1842" i="5"/>
  <c r="F1842" i="5"/>
  <c r="E1842" i="5"/>
  <c r="D1842" i="5"/>
  <c r="C1842" i="5"/>
  <c r="B1842" i="5"/>
  <c r="I1841" i="5"/>
  <c r="H1841" i="5"/>
  <c r="G1841" i="5"/>
  <c r="F1841" i="5"/>
  <c r="E1841" i="5"/>
  <c r="D1841" i="5"/>
  <c r="C1841" i="5"/>
  <c r="B1841" i="5"/>
  <c r="I1840" i="5"/>
  <c r="G1840" i="5"/>
  <c r="F1840" i="5"/>
  <c r="E1840" i="5"/>
  <c r="D1840" i="5"/>
  <c r="C1840" i="5"/>
  <c r="B1840" i="5"/>
  <c r="I1839" i="5"/>
  <c r="H1839" i="5"/>
  <c r="G1839" i="5"/>
  <c r="F1839" i="5"/>
  <c r="E1839" i="5"/>
  <c r="D1839" i="5"/>
  <c r="C1839" i="5"/>
  <c r="B1839" i="5"/>
  <c r="I1838" i="5"/>
  <c r="H1838" i="5"/>
  <c r="G1838" i="5"/>
  <c r="F1838" i="5"/>
  <c r="E1838" i="5"/>
  <c r="D1838" i="5"/>
  <c r="C1838" i="5"/>
  <c r="B1838" i="5"/>
  <c r="I1837" i="5"/>
  <c r="H1837" i="5"/>
  <c r="G1837" i="5"/>
  <c r="F1837" i="5"/>
  <c r="E1837" i="5"/>
  <c r="D1837" i="5"/>
  <c r="C1837" i="5"/>
  <c r="B1837" i="5"/>
  <c r="I1836" i="5"/>
  <c r="H1836" i="5"/>
  <c r="G1836" i="5"/>
  <c r="F1836" i="5"/>
  <c r="E1836" i="5"/>
  <c r="D1836" i="5"/>
  <c r="C1836" i="5"/>
  <c r="B1836" i="5"/>
  <c r="I1835" i="5"/>
  <c r="H1835" i="5"/>
  <c r="G1835" i="5"/>
  <c r="F1835" i="5"/>
  <c r="E1835" i="5"/>
  <c r="D1835" i="5"/>
  <c r="C1835" i="5"/>
  <c r="B1835" i="5"/>
  <c r="I1834" i="5"/>
  <c r="H1834" i="5"/>
  <c r="G1834" i="5"/>
  <c r="F1834" i="5"/>
  <c r="E1834" i="5"/>
  <c r="D1834" i="5"/>
  <c r="C1834" i="5"/>
  <c r="B1834" i="5"/>
  <c r="I1833" i="5"/>
  <c r="H1833" i="5"/>
  <c r="G1833" i="5"/>
  <c r="F1833" i="5"/>
  <c r="E1833" i="5"/>
  <c r="D1833" i="5"/>
  <c r="C1833" i="5"/>
  <c r="B1833" i="5"/>
  <c r="I1832" i="5"/>
  <c r="H1832" i="5"/>
  <c r="G1832" i="5"/>
  <c r="F1832" i="5"/>
  <c r="E1832" i="5"/>
  <c r="D1832" i="5"/>
  <c r="C1832" i="5"/>
  <c r="B1832" i="5"/>
  <c r="I1831" i="5"/>
  <c r="H1831" i="5"/>
  <c r="G1831" i="5"/>
  <c r="F1831" i="5"/>
  <c r="E1831" i="5"/>
  <c r="D1831" i="5"/>
  <c r="C1831" i="5"/>
  <c r="B1831" i="5"/>
  <c r="I1830" i="5"/>
  <c r="H1830" i="5"/>
  <c r="G1830" i="5"/>
  <c r="F1830" i="5"/>
  <c r="E1830" i="5"/>
  <c r="D1830" i="5"/>
  <c r="C1830" i="5"/>
  <c r="B1830" i="5"/>
  <c r="I1829" i="5"/>
  <c r="H1829" i="5"/>
  <c r="G1829" i="5"/>
  <c r="F1829" i="5"/>
  <c r="E1829" i="5"/>
  <c r="D1829" i="5"/>
  <c r="C1829" i="5"/>
  <c r="B1829" i="5"/>
  <c r="I1828" i="5"/>
  <c r="H1828" i="5"/>
  <c r="G1828" i="5"/>
  <c r="F1828" i="5"/>
  <c r="E1828" i="5"/>
  <c r="D1828" i="5"/>
  <c r="C1828" i="5"/>
  <c r="B1828" i="5"/>
  <c r="I1827" i="5"/>
  <c r="H1827" i="5"/>
  <c r="G1827" i="5"/>
  <c r="F1827" i="5"/>
  <c r="E1827" i="5"/>
  <c r="D1827" i="5"/>
  <c r="C1827" i="5"/>
  <c r="B1827" i="5"/>
  <c r="I1826" i="5"/>
  <c r="H1826" i="5"/>
  <c r="G1826" i="5"/>
  <c r="F1826" i="5"/>
  <c r="E1826" i="5"/>
  <c r="D1826" i="5"/>
  <c r="C1826" i="5"/>
  <c r="B1826" i="5"/>
  <c r="I1825" i="5"/>
  <c r="H1825" i="5"/>
  <c r="G1825" i="5"/>
  <c r="F1825" i="5"/>
  <c r="E1825" i="5"/>
  <c r="D1825" i="5"/>
  <c r="C1825" i="5"/>
  <c r="B1825" i="5"/>
  <c r="I1824" i="5"/>
  <c r="H1824" i="5"/>
  <c r="G1824" i="5"/>
  <c r="F1824" i="5"/>
  <c r="E1824" i="5"/>
  <c r="D1824" i="5"/>
  <c r="C1824" i="5"/>
  <c r="B1824" i="5"/>
  <c r="I1823" i="5"/>
  <c r="H1823" i="5"/>
  <c r="G1823" i="5"/>
  <c r="F1823" i="5"/>
  <c r="E1823" i="5"/>
  <c r="D1823" i="5"/>
  <c r="C1823" i="5"/>
  <c r="B1823" i="5"/>
  <c r="I1822" i="5"/>
  <c r="H1822" i="5"/>
  <c r="G1822" i="5"/>
  <c r="F1822" i="5"/>
  <c r="E1822" i="5"/>
  <c r="D1822" i="5"/>
  <c r="C1822" i="5"/>
  <c r="B1822" i="5"/>
  <c r="I1821" i="5"/>
  <c r="H1821" i="5"/>
  <c r="G1821" i="5"/>
  <c r="F1821" i="5"/>
  <c r="E1821" i="5"/>
  <c r="D1821" i="5"/>
  <c r="C1821" i="5"/>
  <c r="B1821" i="5"/>
  <c r="I1820" i="5"/>
  <c r="H1820" i="5"/>
  <c r="G1820" i="5"/>
  <c r="F1820" i="5"/>
  <c r="E1820" i="5"/>
  <c r="D1820" i="5"/>
  <c r="C1820" i="5"/>
  <c r="B1820" i="5"/>
  <c r="I1819" i="5"/>
  <c r="H1819" i="5"/>
  <c r="G1819" i="5"/>
  <c r="F1819" i="5"/>
  <c r="E1819" i="5"/>
  <c r="D1819" i="5"/>
  <c r="C1819" i="5"/>
  <c r="B1819" i="5"/>
  <c r="I1818" i="5"/>
  <c r="H1818" i="5"/>
  <c r="G1818" i="5"/>
  <c r="F1818" i="5"/>
  <c r="E1818" i="5"/>
  <c r="D1818" i="5"/>
  <c r="C1818" i="5"/>
  <c r="B1818" i="5"/>
  <c r="I1817" i="5"/>
  <c r="H1817" i="5"/>
  <c r="G1817" i="5"/>
  <c r="F1817" i="5"/>
  <c r="E1817" i="5"/>
  <c r="D1817" i="5"/>
  <c r="C1817" i="5"/>
  <c r="B1817" i="5"/>
  <c r="I1816" i="5"/>
  <c r="H1816" i="5"/>
  <c r="G1816" i="5"/>
  <c r="F1816" i="5"/>
  <c r="E1816" i="5"/>
  <c r="D1816" i="5"/>
  <c r="C1816" i="5"/>
  <c r="B1816" i="5"/>
  <c r="I1815" i="5"/>
  <c r="H1815" i="5"/>
  <c r="G1815" i="5"/>
  <c r="F1815" i="5"/>
  <c r="E1815" i="5"/>
  <c r="D1815" i="5"/>
  <c r="C1815" i="5"/>
  <c r="B1815" i="5"/>
  <c r="I1814" i="5"/>
  <c r="H1814" i="5"/>
  <c r="G1814" i="5"/>
  <c r="F1814" i="5"/>
  <c r="E1814" i="5"/>
  <c r="D1814" i="5"/>
  <c r="C1814" i="5"/>
  <c r="B1814" i="5"/>
  <c r="I1813" i="5"/>
  <c r="H1813" i="5"/>
  <c r="G1813" i="5"/>
  <c r="F1813" i="5"/>
  <c r="E1813" i="5"/>
  <c r="D1813" i="5"/>
  <c r="C1813" i="5"/>
  <c r="B1813" i="5"/>
  <c r="I1812" i="5"/>
  <c r="H1812" i="5"/>
  <c r="G1812" i="5"/>
  <c r="F1812" i="5"/>
  <c r="E1812" i="5"/>
  <c r="D1812" i="5"/>
  <c r="C1812" i="5"/>
  <c r="B1812" i="5"/>
  <c r="I1811" i="5"/>
  <c r="H1811" i="5"/>
  <c r="G1811" i="5"/>
  <c r="F1811" i="5"/>
  <c r="E1811" i="5"/>
  <c r="D1811" i="5"/>
  <c r="C1811" i="5"/>
  <c r="B1811" i="5"/>
  <c r="I1810" i="5"/>
  <c r="H1810" i="5"/>
  <c r="G1810" i="5"/>
  <c r="F1810" i="5"/>
  <c r="E1810" i="5"/>
  <c r="D1810" i="5"/>
  <c r="C1810" i="5"/>
  <c r="B1810" i="5"/>
  <c r="I1809" i="5"/>
  <c r="H1809" i="5"/>
  <c r="G1809" i="5"/>
  <c r="F1809" i="5"/>
  <c r="E1809" i="5"/>
  <c r="D1809" i="5"/>
  <c r="C1809" i="5"/>
  <c r="B1809" i="5"/>
  <c r="I1808" i="5"/>
  <c r="H1808" i="5"/>
  <c r="G1808" i="5"/>
  <c r="F1808" i="5"/>
  <c r="E1808" i="5"/>
  <c r="D1808" i="5"/>
  <c r="C1808" i="5"/>
  <c r="B1808" i="5"/>
  <c r="I1807" i="5"/>
  <c r="H1807" i="5"/>
  <c r="G1807" i="5"/>
  <c r="F1807" i="5"/>
  <c r="E1807" i="5"/>
  <c r="D1807" i="5"/>
  <c r="C1807" i="5"/>
  <c r="B1807" i="5"/>
  <c r="I1806" i="5"/>
  <c r="H1806" i="5"/>
  <c r="G1806" i="5"/>
  <c r="F1806" i="5"/>
  <c r="E1806" i="5"/>
  <c r="D1806" i="5"/>
  <c r="C1806" i="5"/>
  <c r="B1806" i="5"/>
  <c r="I1805" i="5"/>
  <c r="H1805" i="5"/>
  <c r="G1805" i="5"/>
  <c r="F1805" i="5"/>
  <c r="E1805" i="5"/>
  <c r="D1805" i="5"/>
  <c r="C1805" i="5"/>
  <c r="B1805" i="5"/>
  <c r="I1804" i="5"/>
  <c r="H1804" i="5"/>
  <c r="G1804" i="5"/>
  <c r="F1804" i="5"/>
  <c r="E1804" i="5"/>
  <c r="D1804" i="5"/>
  <c r="C1804" i="5"/>
  <c r="B1804" i="5"/>
  <c r="I1803" i="5"/>
  <c r="H1803" i="5"/>
  <c r="G1803" i="5"/>
  <c r="F1803" i="5"/>
  <c r="E1803" i="5"/>
  <c r="D1803" i="5"/>
  <c r="C1803" i="5"/>
  <c r="B1803" i="5"/>
  <c r="I1802" i="5"/>
  <c r="H1802" i="5"/>
  <c r="G1802" i="5"/>
  <c r="F1802" i="5"/>
  <c r="E1802" i="5"/>
  <c r="D1802" i="5"/>
  <c r="C1802" i="5"/>
  <c r="B1802" i="5"/>
  <c r="I1801" i="5"/>
  <c r="H1801" i="5"/>
  <c r="G1801" i="5"/>
  <c r="F1801" i="5"/>
  <c r="E1801" i="5"/>
  <c r="D1801" i="5"/>
  <c r="C1801" i="5"/>
  <c r="B1801" i="5"/>
  <c r="I1800" i="5"/>
  <c r="H1800" i="5"/>
  <c r="G1800" i="5"/>
  <c r="F1800" i="5"/>
  <c r="E1800" i="5"/>
  <c r="D1800" i="5"/>
  <c r="C1800" i="5"/>
  <c r="B1800" i="5"/>
  <c r="I1799" i="5"/>
  <c r="H1799" i="5"/>
  <c r="G1799" i="5"/>
  <c r="F1799" i="5"/>
  <c r="E1799" i="5"/>
  <c r="D1799" i="5"/>
  <c r="C1799" i="5"/>
  <c r="B1799" i="5"/>
  <c r="I1798" i="5"/>
  <c r="H1798" i="5"/>
  <c r="G1798" i="5"/>
  <c r="F1798" i="5"/>
  <c r="E1798" i="5"/>
  <c r="D1798" i="5"/>
  <c r="C1798" i="5"/>
  <c r="B1798" i="5"/>
  <c r="I1797" i="5"/>
  <c r="H1797" i="5"/>
  <c r="G1797" i="5"/>
  <c r="F1797" i="5"/>
  <c r="E1797" i="5"/>
  <c r="D1797" i="5"/>
  <c r="C1797" i="5"/>
  <c r="B1797" i="5"/>
  <c r="I1796" i="5"/>
  <c r="H1796" i="5"/>
  <c r="G1796" i="5"/>
  <c r="F1796" i="5"/>
  <c r="E1796" i="5"/>
  <c r="D1796" i="5"/>
  <c r="C1796" i="5"/>
  <c r="B1796" i="5"/>
  <c r="I1795" i="5"/>
  <c r="H1795" i="5"/>
  <c r="G1795" i="5"/>
  <c r="F1795" i="5"/>
  <c r="E1795" i="5"/>
  <c r="D1795" i="5"/>
  <c r="C1795" i="5"/>
  <c r="B1795" i="5"/>
  <c r="I1794" i="5"/>
  <c r="H1794" i="5"/>
  <c r="G1794" i="5"/>
  <c r="F1794" i="5"/>
  <c r="E1794" i="5"/>
  <c r="D1794" i="5"/>
  <c r="C1794" i="5"/>
  <c r="B1794" i="5"/>
  <c r="I1793" i="5"/>
  <c r="H1793" i="5"/>
  <c r="G1793" i="5"/>
  <c r="F1793" i="5"/>
  <c r="E1793" i="5"/>
  <c r="D1793" i="5"/>
  <c r="C1793" i="5"/>
  <c r="B1793" i="5"/>
  <c r="I1792" i="5"/>
  <c r="H1792" i="5"/>
  <c r="G1792" i="5"/>
  <c r="F1792" i="5"/>
  <c r="E1792" i="5"/>
  <c r="D1792" i="5"/>
  <c r="C1792" i="5"/>
  <c r="B1792" i="5"/>
  <c r="I1791" i="5"/>
  <c r="H1791" i="5"/>
  <c r="G1791" i="5"/>
  <c r="F1791" i="5"/>
  <c r="E1791" i="5"/>
  <c r="D1791" i="5"/>
  <c r="C1791" i="5"/>
  <c r="B1791" i="5"/>
  <c r="I1790" i="5"/>
  <c r="H1790" i="5"/>
  <c r="G1790" i="5"/>
  <c r="F1790" i="5"/>
  <c r="E1790" i="5"/>
  <c r="D1790" i="5"/>
  <c r="C1790" i="5"/>
  <c r="B1790" i="5"/>
  <c r="I1789" i="5"/>
  <c r="H1789" i="5"/>
  <c r="G1789" i="5"/>
  <c r="F1789" i="5"/>
  <c r="E1789" i="5"/>
  <c r="D1789" i="5"/>
  <c r="C1789" i="5"/>
  <c r="B1789" i="5"/>
  <c r="I1788" i="5"/>
  <c r="H1788" i="5"/>
  <c r="G1788" i="5"/>
  <c r="F1788" i="5"/>
  <c r="E1788" i="5"/>
  <c r="D1788" i="5"/>
  <c r="C1788" i="5"/>
  <c r="B1788" i="5"/>
  <c r="I1787" i="5"/>
  <c r="H1787" i="5"/>
  <c r="G1787" i="5"/>
  <c r="F1787" i="5"/>
  <c r="E1787" i="5"/>
  <c r="D1787" i="5"/>
  <c r="C1787" i="5"/>
  <c r="B1787" i="5"/>
  <c r="I1786" i="5"/>
  <c r="H1786" i="5"/>
  <c r="G1786" i="5"/>
  <c r="F1786" i="5"/>
  <c r="E1786" i="5"/>
  <c r="D1786" i="5"/>
  <c r="C1786" i="5"/>
  <c r="B1786" i="5"/>
  <c r="I1785" i="5"/>
  <c r="G1785" i="5"/>
  <c r="F1785" i="5"/>
  <c r="E1785" i="5"/>
  <c r="D1785" i="5"/>
  <c r="C1785" i="5"/>
  <c r="B1785" i="5"/>
  <c r="I1784" i="5"/>
  <c r="H1784" i="5"/>
  <c r="G1784" i="5"/>
  <c r="F1784" i="5"/>
  <c r="E1784" i="5"/>
  <c r="D1784" i="5"/>
  <c r="C1784" i="5"/>
  <c r="B1784" i="5"/>
  <c r="I1783" i="5"/>
  <c r="H1783" i="5"/>
  <c r="G1783" i="5"/>
  <c r="F1783" i="5"/>
  <c r="E1783" i="5"/>
  <c r="D1783" i="5"/>
  <c r="C1783" i="5"/>
  <c r="B1783" i="5"/>
  <c r="I1782" i="5"/>
  <c r="H1782" i="5"/>
  <c r="G1782" i="5"/>
  <c r="F1782" i="5"/>
  <c r="E1782" i="5"/>
  <c r="D1782" i="5"/>
  <c r="C1782" i="5"/>
  <c r="B1782" i="5"/>
  <c r="I1781" i="5"/>
  <c r="H1781" i="5"/>
  <c r="G1781" i="5"/>
  <c r="F1781" i="5"/>
  <c r="E1781" i="5"/>
  <c r="D1781" i="5"/>
  <c r="C1781" i="5"/>
  <c r="B1781" i="5"/>
  <c r="I1780" i="5"/>
  <c r="H1780" i="5"/>
  <c r="G1780" i="5"/>
  <c r="F1780" i="5"/>
  <c r="E1780" i="5"/>
  <c r="D1780" i="5"/>
  <c r="C1780" i="5"/>
  <c r="B1780" i="5"/>
  <c r="I1779" i="5"/>
  <c r="H1779" i="5"/>
  <c r="G1779" i="5"/>
  <c r="F1779" i="5"/>
  <c r="E1779" i="5"/>
  <c r="D1779" i="5"/>
  <c r="C1779" i="5"/>
  <c r="B1779" i="5"/>
  <c r="I1778" i="5"/>
  <c r="H1778" i="5"/>
  <c r="G1778" i="5"/>
  <c r="F1778" i="5"/>
  <c r="E1778" i="5"/>
  <c r="D1778" i="5"/>
  <c r="C1778" i="5"/>
  <c r="B1778" i="5"/>
  <c r="I1777" i="5"/>
  <c r="H1777" i="5"/>
  <c r="G1777" i="5"/>
  <c r="F1777" i="5"/>
  <c r="E1777" i="5"/>
  <c r="D1777" i="5"/>
  <c r="C1777" i="5"/>
  <c r="B1777" i="5"/>
  <c r="I1776" i="5"/>
  <c r="H1776" i="5"/>
  <c r="G1776" i="5"/>
  <c r="F1776" i="5"/>
  <c r="E1776" i="5"/>
  <c r="D1776" i="5"/>
  <c r="C1776" i="5"/>
  <c r="B1776" i="5"/>
  <c r="I1775" i="5"/>
  <c r="H1775" i="5"/>
  <c r="G1775" i="5"/>
  <c r="F1775" i="5"/>
  <c r="E1775" i="5"/>
  <c r="D1775" i="5"/>
  <c r="C1775" i="5"/>
  <c r="B1775" i="5"/>
  <c r="I1774" i="5"/>
  <c r="H1774" i="5"/>
  <c r="G1774" i="5"/>
  <c r="F1774" i="5"/>
  <c r="E1774" i="5"/>
  <c r="D1774" i="5"/>
  <c r="C1774" i="5"/>
  <c r="B1774" i="5"/>
  <c r="I1773" i="5"/>
  <c r="H1773" i="5"/>
  <c r="G1773" i="5"/>
  <c r="F1773" i="5"/>
  <c r="E1773" i="5"/>
  <c r="D1773" i="5"/>
  <c r="C1773" i="5"/>
  <c r="B1773" i="5"/>
  <c r="I1772" i="5"/>
  <c r="H1772" i="5"/>
  <c r="G1772" i="5"/>
  <c r="F1772" i="5"/>
  <c r="E1772" i="5"/>
  <c r="D1772" i="5"/>
  <c r="C1772" i="5"/>
  <c r="B1772" i="5"/>
  <c r="I1771" i="5"/>
  <c r="H1771" i="5"/>
  <c r="G1771" i="5"/>
  <c r="F1771" i="5"/>
  <c r="E1771" i="5"/>
  <c r="D1771" i="5"/>
  <c r="C1771" i="5"/>
  <c r="B1771" i="5"/>
  <c r="I1770" i="5"/>
  <c r="H1770" i="5"/>
  <c r="G1770" i="5"/>
  <c r="F1770" i="5"/>
  <c r="E1770" i="5"/>
  <c r="D1770" i="5"/>
  <c r="C1770" i="5"/>
  <c r="B1770" i="5"/>
  <c r="I1769" i="5"/>
  <c r="H1769" i="5"/>
  <c r="G1769" i="5"/>
  <c r="F1769" i="5"/>
  <c r="E1769" i="5"/>
  <c r="D1769" i="5"/>
  <c r="C1769" i="5"/>
  <c r="B1769" i="5"/>
  <c r="I1768" i="5"/>
  <c r="H1768" i="5"/>
  <c r="G1768" i="5"/>
  <c r="F1768" i="5"/>
  <c r="E1768" i="5"/>
  <c r="D1768" i="5"/>
  <c r="C1768" i="5"/>
  <c r="B1768" i="5"/>
  <c r="I1767" i="5"/>
  <c r="H1767" i="5"/>
  <c r="G1767" i="5"/>
  <c r="F1767" i="5"/>
  <c r="E1767" i="5"/>
  <c r="D1767" i="5"/>
  <c r="C1767" i="5"/>
  <c r="B1767" i="5"/>
  <c r="I1766" i="5"/>
  <c r="H1766" i="5"/>
  <c r="G1766" i="5"/>
  <c r="F1766" i="5"/>
  <c r="E1766" i="5"/>
  <c r="D1766" i="5"/>
  <c r="C1766" i="5"/>
  <c r="B1766" i="5"/>
  <c r="I1765" i="5"/>
  <c r="H1765" i="5"/>
  <c r="G1765" i="5"/>
  <c r="F1765" i="5"/>
  <c r="E1765" i="5"/>
  <c r="D1765" i="5"/>
  <c r="C1765" i="5"/>
  <c r="B1765" i="5"/>
  <c r="I1764" i="5"/>
  <c r="H1764" i="5"/>
  <c r="G1764" i="5"/>
  <c r="F1764" i="5"/>
  <c r="E1764" i="5"/>
  <c r="D1764" i="5"/>
  <c r="C1764" i="5"/>
  <c r="B1764" i="5"/>
  <c r="I1763" i="5"/>
  <c r="H1763" i="5"/>
  <c r="G1763" i="5"/>
  <c r="F1763" i="5"/>
  <c r="E1763" i="5"/>
  <c r="D1763" i="5"/>
  <c r="C1763" i="5"/>
  <c r="B1763" i="5"/>
  <c r="I1762" i="5"/>
  <c r="H1762" i="5"/>
  <c r="G1762" i="5"/>
  <c r="F1762" i="5"/>
  <c r="E1762" i="5"/>
  <c r="D1762" i="5"/>
  <c r="C1762" i="5"/>
  <c r="B1762" i="5"/>
  <c r="I1761" i="5"/>
  <c r="H1761" i="5"/>
  <c r="G1761" i="5"/>
  <c r="F1761" i="5"/>
  <c r="E1761" i="5"/>
  <c r="D1761" i="5"/>
  <c r="C1761" i="5"/>
  <c r="B1761" i="5"/>
  <c r="I1760" i="5"/>
  <c r="H1760" i="5"/>
  <c r="G1760" i="5"/>
  <c r="F1760" i="5"/>
  <c r="E1760" i="5"/>
  <c r="D1760" i="5"/>
  <c r="C1760" i="5"/>
  <c r="B1760" i="5"/>
  <c r="I1759" i="5"/>
  <c r="H1759" i="5"/>
  <c r="G1759" i="5"/>
  <c r="F1759" i="5"/>
  <c r="E1759" i="5"/>
  <c r="D1759" i="5"/>
  <c r="C1759" i="5"/>
  <c r="B1759" i="5"/>
  <c r="I1758" i="5"/>
  <c r="H1758" i="5"/>
  <c r="G1758" i="5"/>
  <c r="F1758" i="5"/>
  <c r="E1758" i="5"/>
  <c r="D1758" i="5"/>
  <c r="C1758" i="5"/>
  <c r="B1758" i="5"/>
  <c r="I1757" i="5"/>
  <c r="H1757" i="5"/>
  <c r="G1757" i="5"/>
  <c r="F1757" i="5"/>
  <c r="E1757" i="5"/>
  <c r="D1757" i="5"/>
  <c r="C1757" i="5"/>
  <c r="B1757" i="5"/>
  <c r="I1756" i="5"/>
  <c r="H1756" i="5"/>
  <c r="G1756" i="5"/>
  <c r="F1756" i="5"/>
  <c r="E1756" i="5"/>
  <c r="D1756" i="5"/>
  <c r="C1756" i="5"/>
  <c r="B1756" i="5"/>
  <c r="I1755" i="5"/>
  <c r="H1755" i="5"/>
  <c r="G1755" i="5"/>
  <c r="F1755" i="5"/>
  <c r="E1755" i="5"/>
  <c r="D1755" i="5"/>
  <c r="C1755" i="5"/>
  <c r="B1755" i="5"/>
  <c r="I1754" i="5"/>
  <c r="H1754" i="5"/>
  <c r="G1754" i="5"/>
  <c r="F1754" i="5"/>
  <c r="E1754" i="5"/>
  <c r="D1754" i="5"/>
  <c r="C1754" i="5"/>
  <c r="B1754" i="5"/>
  <c r="I1753" i="5"/>
  <c r="H1753" i="5"/>
  <c r="G1753" i="5"/>
  <c r="F1753" i="5"/>
  <c r="E1753" i="5"/>
  <c r="D1753" i="5"/>
  <c r="C1753" i="5"/>
  <c r="B1753" i="5"/>
  <c r="I1752" i="5"/>
  <c r="H1752" i="5"/>
  <c r="G1752" i="5"/>
  <c r="F1752" i="5"/>
  <c r="E1752" i="5"/>
  <c r="D1752" i="5"/>
  <c r="C1752" i="5"/>
  <c r="B1752" i="5"/>
  <c r="I1751" i="5"/>
  <c r="H1751" i="5"/>
  <c r="G1751" i="5"/>
  <c r="F1751" i="5"/>
  <c r="E1751" i="5"/>
  <c r="D1751" i="5"/>
  <c r="C1751" i="5"/>
  <c r="B1751" i="5"/>
  <c r="I1750" i="5"/>
  <c r="H1750" i="5"/>
  <c r="G1750" i="5"/>
  <c r="F1750" i="5"/>
  <c r="E1750" i="5"/>
  <c r="D1750" i="5"/>
  <c r="C1750" i="5"/>
  <c r="B1750" i="5"/>
  <c r="I1749" i="5"/>
  <c r="H1749" i="5"/>
  <c r="G1749" i="5"/>
  <c r="F1749" i="5"/>
  <c r="E1749" i="5"/>
  <c r="D1749" i="5"/>
  <c r="C1749" i="5"/>
  <c r="B1749" i="5"/>
  <c r="I1748" i="5"/>
  <c r="G1748" i="5"/>
  <c r="F1748" i="5"/>
  <c r="E1748" i="5"/>
  <c r="D1748" i="5"/>
  <c r="C1748" i="5"/>
  <c r="B1748" i="5"/>
  <c r="I1747" i="5"/>
  <c r="H1747" i="5"/>
  <c r="G1747" i="5"/>
  <c r="F1747" i="5"/>
  <c r="E1747" i="5"/>
  <c r="D1747" i="5"/>
  <c r="C1747" i="5"/>
  <c r="B1747" i="5"/>
  <c r="I1746" i="5"/>
  <c r="H1746" i="5"/>
  <c r="G1746" i="5"/>
  <c r="F1746" i="5"/>
  <c r="E1746" i="5"/>
  <c r="D1746" i="5"/>
  <c r="C1746" i="5"/>
  <c r="B1746" i="5"/>
  <c r="I1745" i="5"/>
  <c r="H1745" i="5"/>
  <c r="G1745" i="5"/>
  <c r="F1745" i="5"/>
  <c r="E1745" i="5"/>
  <c r="D1745" i="5"/>
  <c r="C1745" i="5"/>
  <c r="B1745" i="5"/>
  <c r="I1744" i="5"/>
  <c r="H1744" i="5"/>
  <c r="G1744" i="5"/>
  <c r="F1744" i="5"/>
  <c r="E1744" i="5"/>
  <c r="D1744" i="5"/>
  <c r="C1744" i="5"/>
  <c r="B1744" i="5"/>
  <c r="I1743" i="5"/>
  <c r="H1743" i="5"/>
  <c r="G1743" i="5"/>
  <c r="F1743" i="5"/>
  <c r="E1743" i="5"/>
  <c r="D1743" i="5"/>
  <c r="C1743" i="5"/>
  <c r="B1743" i="5"/>
  <c r="I1742" i="5"/>
  <c r="H1742" i="5"/>
  <c r="G1742" i="5"/>
  <c r="F1742" i="5"/>
  <c r="E1742" i="5"/>
  <c r="D1742" i="5"/>
  <c r="C1742" i="5"/>
  <c r="B1742" i="5"/>
  <c r="I1741" i="5"/>
  <c r="H1741" i="5"/>
  <c r="G1741" i="5"/>
  <c r="F1741" i="5"/>
  <c r="E1741" i="5"/>
  <c r="D1741" i="5"/>
  <c r="C1741" i="5"/>
  <c r="B1741" i="5"/>
  <c r="I1740" i="5"/>
  <c r="H1740" i="5"/>
  <c r="G1740" i="5"/>
  <c r="F1740" i="5"/>
  <c r="E1740" i="5"/>
  <c r="D1740" i="5"/>
  <c r="C1740" i="5"/>
  <c r="B1740" i="5"/>
  <c r="I1739" i="5"/>
  <c r="H1739" i="5"/>
  <c r="G1739" i="5"/>
  <c r="F1739" i="5"/>
  <c r="E1739" i="5"/>
  <c r="D1739" i="5"/>
  <c r="C1739" i="5"/>
  <c r="B1739" i="5"/>
  <c r="I1738" i="5"/>
  <c r="H1738" i="5"/>
  <c r="G1738" i="5"/>
  <c r="F1738" i="5"/>
  <c r="E1738" i="5"/>
  <c r="D1738" i="5"/>
  <c r="C1738" i="5"/>
  <c r="B1738" i="5"/>
  <c r="I1737" i="5"/>
  <c r="H1737" i="5"/>
  <c r="G1737" i="5"/>
  <c r="F1737" i="5"/>
  <c r="E1737" i="5"/>
  <c r="D1737" i="5"/>
  <c r="C1737" i="5"/>
  <c r="B1737" i="5"/>
  <c r="I1736" i="5"/>
  <c r="H1736" i="5"/>
  <c r="G1736" i="5"/>
  <c r="F1736" i="5"/>
  <c r="E1736" i="5"/>
  <c r="D1736" i="5"/>
  <c r="C1736" i="5"/>
  <c r="B1736" i="5"/>
  <c r="I1735" i="5"/>
  <c r="H1735" i="5"/>
  <c r="G1735" i="5"/>
  <c r="F1735" i="5"/>
  <c r="E1735" i="5"/>
  <c r="D1735" i="5"/>
  <c r="C1735" i="5"/>
  <c r="B1735" i="5"/>
  <c r="I1734" i="5"/>
  <c r="H1734" i="5"/>
  <c r="G1734" i="5"/>
  <c r="F1734" i="5"/>
  <c r="E1734" i="5"/>
  <c r="D1734" i="5"/>
  <c r="C1734" i="5"/>
  <c r="B1734" i="5"/>
  <c r="I1733" i="5"/>
  <c r="H1733" i="5"/>
  <c r="G1733" i="5"/>
  <c r="F1733" i="5"/>
  <c r="E1733" i="5"/>
  <c r="D1733" i="5"/>
  <c r="C1733" i="5"/>
  <c r="B1733" i="5"/>
  <c r="I1732" i="5"/>
  <c r="H1732" i="5"/>
  <c r="G1732" i="5"/>
  <c r="F1732" i="5"/>
  <c r="E1732" i="5"/>
  <c r="D1732" i="5"/>
  <c r="C1732" i="5"/>
  <c r="B1732" i="5"/>
  <c r="I1731" i="5"/>
  <c r="G1731" i="5"/>
  <c r="F1731" i="5"/>
  <c r="E1731" i="5"/>
  <c r="D1731" i="5"/>
  <c r="C1731" i="5"/>
  <c r="B1731" i="5"/>
  <c r="I1730" i="5"/>
  <c r="H1730" i="5"/>
  <c r="G1730" i="5"/>
  <c r="F1730" i="5"/>
  <c r="E1730" i="5"/>
  <c r="D1730" i="5"/>
  <c r="C1730" i="5"/>
  <c r="B1730" i="5"/>
  <c r="I1729" i="5"/>
  <c r="H1729" i="5"/>
  <c r="G1729" i="5"/>
  <c r="F1729" i="5"/>
  <c r="E1729" i="5"/>
  <c r="D1729" i="5"/>
  <c r="C1729" i="5"/>
  <c r="B1729" i="5"/>
  <c r="I1728" i="5"/>
  <c r="H1728" i="5"/>
  <c r="G1728" i="5"/>
  <c r="F1728" i="5"/>
  <c r="E1728" i="5"/>
  <c r="D1728" i="5"/>
  <c r="C1728" i="5"/>
  <c r="B1728" i="5"/>
  <c r="I1727" i="5"/>
  <c r="H1727" i="5"/>
  <c r="G1727" i="5"/>
  <c r="F1727" i="5"/>
  <c r="E1727" i="5"/>
  <c r="D1727" i="5"/>
  <c r="C1727" i="5"/>
  <c r="B1727" i="5"/>
  <c r="I1726" i="5"/>
  <c r="H1726" i="5"/>
  <c r="G1726" i="5"/>
  <c r="F1726" i="5"/>
  <c r="E1726" i="5"/>
  <c r="D1726" i="5"/>
  <c r="C1726" i="5"/>
  <c r="B1726" i="5"/>
  <c r="I1725" i="5"/>
  <c r="H1725" i="5"/>
  <c r="G1725" i="5"/>
  <c r="F1725" i="5"/>
  <c r="E1725" i="5"/>
  <c r="D1725" i="5"/>
  <c r="C1725" i="5"/>
  <c r="B1725" i="5"/>
  <c r="I1724" i="5"/>
  <c r="H1724" i="5"/>
  <c r="G1724" i="5"/>
  <c r="F1724" i="5"/>
  <c r="E1724" i="5"/>
  <c r="D1724" i="5"/>
  <c r="C1724" i="5"/>
  <c r="B1724" i="5"/>
  <c r="I1723" i="5"/>
  <c r="H1723" i="5"/>
  <c r="G1723" i="5"/>
  <c r="F1723" i="5"/>
  <c r="E1723" i="5"/>
  <c r="D1723" i="5"/>
  <c r="C1723" i="5"/>
  <c r="B1723" i="5"/>
  <c r="I1722" i="5"/>
  <c r="H1722" i="5"/>
  <c r="G1722" i="5"/>
  <c r="F1722" i="5"/>
  <c r="E1722" i="5"/>
  <c r="D1722" i="5"/>
  <c r="C1722" i="5"/>
  <c r="B1722" i="5"/>
  <c r="I1721" i="5"/>
  <c r="H1721" i="5"/>
  <c r="G1721" i="5"/>
  <c r="F1721" i="5"/>
  <c r="E1721" i="5"/>
  <c r="D1721" i="5"/>
  <c r="C1721" i="5"/>
  <c r="B1721" i="5"/>
  <c r="I1720" i="5"/>
  <c r="H1720" i="5"/>
  <c r="G1720" i="5"/>
  <c r="F1720" i="5"/>
  <c r="E1720" i="5"/>
  <c r="D1720" i="5"/>
  <c r="C1720" i="5"/>
  <c r="B1720" i="5"/>
  <c r="I1719" i="5"/>
  <c r="H1719" i="5"/>
  <c r="G1719" i="5"/>
  <c r="F1719" i="5"/>
  <c r="E1719" i="5"/>
  <c r="D1719" i="5"/>
  <c r="C1719" i="5"/>
  <c r="B1719" i="5"/>
  <c r="I1718" i="5"/>
  <c r="H1718" i="5"/>
  <c r="G1718" i="5"/>
  <c r="F1718" i="5"/>
  <c r="E1718" i="5"/>
  <c r="D1718" i="5"/>
  <c r="C1718" i="5"/>
  <c r="B1718" i="5"/>
  <c r="I1717" i="5"/>
  <c r="H1717" i="5"/>
  <c r="G1717" i="5"/>
  <c r="F1717" i="5"/>
  <c r="E1717" i="5"/>
  <c r="D1717" i="5"/>
  <c r="C1717" i="5"/>
  <c r="B1717" i="5"/>
  <c r="I1716" i="5"/>
  <c r="H1716" i="5"/>
  <c r="G1716" i="5"/>
  <c r="F1716" i="5"/>
  <c r="E1716" i="5"/>
  <c r="D1716" i="5"/>
  <c r="C1716" i="5"/>
  <c r="B1716" i="5"/>
  <c r="I1715" i="5"/>
  <c r="H1715" i="5"/>
  <c r="G1715" i="5"/>
  <c r="F1715" i="5"/>
  <c r="E1715" i="5"/>
  <c r="D1715" i="5"/>
  <c r="C1715" i="5"/>
  <c r="B1715" i="5"/>
  <c r="I1714" i="5"/>
  <c r="H1714" i="5"/>
  <c r="G1714" i="5"/>
  <c r="F1714" i="5"/>
  <c r="E1714" i="5"/>
  <c r="D1714" i="5"/>
  <c r="C1714" i="5"/>
  <c r="B1714" i="5"/>
  <c r="I1713" i="5"/>
  <c r="H1713" i="5"/>
  <c r="G1713" i="5"/>
  <c r="F1713" i="5"/>
  <c r="E1713" i="5"/>
  <c r="D1713" i="5"/>
  <c r="C1713" i="5"/>
  <c r="B1713" i="5"/>
  <c r="I1712" i="5"/>
  <c r="H1712" i="5"/>
  <c r="G1712" i="5"/>
  <c r="F1712" i="5"/>
  <c r="E1712" i="5"/>
  <c r="D1712" i="5"/>
  <c r="C1712" i="5"/>
  <c r="B1712" i="5"/>
  <c r="I1711" i="5"/>
  <c r="H1711" i="5"/>
  <c r="G1711" i="5"/>
  <c r="F1711" i="5"/>
  <c r="E1711" i="5"/>
  <c r="D1711" i="5"/>
  <c r="C1711" i="5"/>
  <c r="B1711" i="5"/>
  <c r="I1710" i="5"/>
  <c r="H1710" i="5"/>
  <c r="G1710" i="5"/>
  <c r="F1710" i="5"/>
  <c r="E1710" i="5"/>
  <c r="D1710" i="5"/>
  <c r="C1710" i="5"/>
  <c r="B1710" i="5"/>
  <c r="I1709" i="5"/>
  <c r="H1709" i="5"/>
  <c r="G1709" i="5"/>
  <c r="F1709" i="5"/>
  <c r="E1709" i="5"/>
  <c r="D1709" i="5"/>
  <c r="C1709" i="5"/>
  <c r="B1709" i="5"/>
  <c r="I1708" i="5"/>
  <c r="H1708" i="5"/>
  <c r="G1708" i="5"/>
  <c r="F1708" i="5"/>
  <c r="E1708" i="5"/>
  <c r="D1708" i="5"/>
  <c r="C1708" i="5"/>
  <c r="B1708" i="5"/>
  <c r="I1707" i="5"/>
  <c r="H1707" i="5"/>
  <c r="G1707" i="5"/>
  <c r="F1707" i="5"/>
  <c r="E1707" i="5"/>
  <c r="D1707" i="5"/>
  <c r="C1707" i="5"/>
  <c r="B1707" i="5"/>
  <c r="I1706" i="5"/>
  <c r="H1706" i="5"/>
  <c r="G1706" i="5"/>
  <c r="F1706" i="5"/>
  <c r="E1706" i="5"/>
  <c r="D1706" i="5"/>
  <c r="C1706" i="5"/>
  <c r="B1706" i="5"/>
  <c r="I1705" i="5"/>
  <c r="H1705" i="5"/>
  <c r="G1705" i="5"/>
  <c r="F1705" i="5"/>
  <c r="E1705" i="5"/>
  <c r="D1705" i="5"/>
  <c r="C1705" i="5"/>
  <c r="B1705" i="5"/>
  <c r="I1704" i="5"/>
  <c r="G1704" i="5"/>
  <c r="F1704" i="5"/>
  <c r="E1704" i="5"/>
  <c r="D1704" i="5"/>
  <c r="C1704" i="5"/>
  <c r="B1704" i="5"/>
  <c r="I1703" i="5"/>
  <c r="G1703" i="5"/>
  <c r="F1703" i="5"/>
  <c r="E1703" i="5"/>
  <c r="D1703" i="5"/>
  <c r="C1703" i="5"/>
  <c r="B1703" i="5"/>
  <c r="I1702" i="5"/>
  <c r="G1702" i="5"/>
  <c r="F1702" i="5"/>
  <c r="E1702" i="5"/>
  <c r="D1702" i="5"/>
  <c r="C1702" i="5"/>
  <c r="B1702" i="5"/>
  <c r="I1701" i="5"/>
  <c r="H1701" i="5"/>
  <c r="G1701" i="5"/>
  <c r="F1701" i="5"/>
  <c r="E1701" i="5"/>
  <c r="D1701" i="5"/>
  <c r="C1701" i="5"/>
  <c r="B1701" i="5"/>
  <c r="I1700" i="5"/>
  <c r="H1700" i="5"/>
  <c r="G1700" i="5"/>
  <c r="F1700" i="5"/>
  <c r="E1700" i="5"/>
  <c r="D1700" i="5"/>
  <c r="C1700" i="5"/>
  <c r="B1700" i="5"/>
  <c r="I1699" i="5"/>
  <c r="H1699" i="5"/>
  <c r="G1699" i="5"/>
  <c r="F1699" i="5"/>
  <c r="E1699" i="5"/>
  <c r="D1699" i="5"/>
  <c r="C1699" i="5"/>
  <c r="B1699" i="5"/>
  <c r="I1698" i="5"/>
  <c r="H1698" i="5"/>
  <c r="G1698" i="5"/>
  <c r="F1698" i="5"/>
  <c r="E1698" i="5"/>
  <c r="D1698" i="5"/>
  <c r="C1698" i="5"/>
  <c r="B1698" i="5"/>
  <c r="I1697" i="5"/>
  <c r="H1697" i="5"/>
  <c r="G1697" i="5"/>
  <c r="F1697" i="5"/>
  <c r="E1697" i="5"/>
  <c r="D1697" i="5"/>
  <c r="C1697" i="5"/>
  <c r="B1697" i="5"/>
  <c r="I1696" i="5"/>
  <c r="H1696" i="5"/>
  <c r="G1696" i="5"/>
  <c r="F1696" i="5"/>
  <c r="E1696" i="5"/>
  <c r="D1696" i="5"/>
  <c r="C1696" i="5"/>
  <c r="B1696" i="5"/>
  <c r="I1695" i="5"/>
  <c r="H1695" i="5"/>
  <c r="G1695" i="5"/>
  <c r="F1695" i="5"/>
  <c r="E1695" i="5"/>
  <c r="D1695" i="5"/>
  <c r="C1695" i="5"/>
  <c r="B1695" i="5"/>
  <c r="I1694" i="5"/>
  <c r="H1694" i="5"/>
  <c r="G1694" i="5"/>
  <c r="F1694" i="5"/>
  <c r="E1694" i="5"/>
  <c r="D1694" i="5"/>
  <c r="C1694" i="5"/>
  <c r="B1694" i="5"/>
  <c r="I1693" i="5"/>
  <c r="H1693" i="5"/>
  <c r="G1693" i="5"/>
  <c r="F1693" i="5"/>
  <c r="E1693" i="5"/>
  <c r="D1693" i="5"/>
  <c r="C1693" i="5"/>
  <c r="B1693" i="5"/>
  <c r="I1692" i="5"/>
  <c r="H1692" i="5"/>
  <c r="G1692" i="5"/>
  <c r="F1692" i="5"/>
  <c r="E1692" i="5"/>
  <c r="D1692" i="5"/>
  <c r="C1692" i="5"/>
  <c r="B1692" i="5"/>
  <c r="I1691" i="5"/>
  <c r="H1691" i="5"/>
  <c r="G1691" i="5"/>
  <c r="F1691" i="5"/>
  <c r="E1691" i="5"/>
  <c r="D1691" i="5"/>
  <c r="C1691" i="5"/>
  <c r="B1691" i="5"/>
  <c r="I1690" i="5"/>
  <c r="H1690" i="5"/>
  <c r="G1690" i="5"/>
  <c r="F1690" i="5"/>
  <c r="E1690" i="5"/>
  <c r="D1690" i="5"/>
  <c r="C1690" i="5"/>
  <c r="B1690" i="5"/>
  <c r="I1689" i="5"/>
  <c r="H1689" i="5"/>
  <c r="G1689" i="5"/>
  <c r="F1689" i="5"/>
  <c r="E1689" i="5"/>
  <c r="D1689" i="5"/>
  <c r="C1689" i="5"/>
  <c r="B1689" i="5"/>
  <c r="I1688" i="5"/>
  <c r="H1688" i="5"/>
  <c r="G1688" i="5"/>
  <c r="F1688" i="5"/>
  <c r="E1688" i="5"/>
  <c r="D1688" i="5"/>
  <c r="C1688" i="5"/>
  <c r="B1688" i="5"/>
  <c r="I1687" i="5"/>
  <c r="H1687" i="5"/>
  <c r="G1687" i="5"/>
  <c r="F1687" i="5"/>
  <c r="E1687" i="5"/>
  <c r="D1687" i="5"/>
  <c r="C1687" i="5"/>
  <c r="B1687" i="5"/>
  <c r="I1686" i="5"/>
  <c r="H1686" i="5"/>
  <c r="G1686" i="5"/>
  <c r="F1686" i="5"/>
  <c r="E1686" i="5"/>
  <c r="D1686" i="5"/>
  <c r="C1686" i="5"/>
  <c r="B1686" i="5"/>
  <c r="I1685" i="5"/>
  <c r="H1685" i="5"/>
  <c r="G1685" i="5"/>
  <c r="F1685" i="5"/>
  <c r="E1685" i="5"/>
  <c r="D1685" i="5"/>
  <c r="C1685" i="5"/>
  <c r="B1685" i="5"/>
  <c r="I1684" i="5"/>
  <c r="H1684" i="5"/>
  <c r="G1684" i="5"/>
  <c r="F1684" i="5"/>
  <c r="E1684" i="5"/>
  <c r="D1684" i="5"/>
  <c r="C1684" i="5"/>
  <c r="B1684" i="5"/>
  <c r="I1683" i="5"/>
  <c r="H1683" i="5"/>
  <c r="G1683" i="5"/>
  <c r="F1683" i="5"/>
  <c r="E1683" i="5"/>
  <c r="D1683" i="5"/>
  <c r="C1683" i="5"/>
  <c r="B1683" i="5"/>
  <c r="I1682" i="5"/>
  <c r="H1682" i="5"/>
  <c r="G1682" i="5"/>
  <c r="F1682" i="5"/>
  <c r="E1682" i="5"/>
  <c r="D1682" i="5"/>
  <c r="C1682" i="5"/>
  <c r="B1682" i="5"/>
  <c r="I1681" i="5"/>
  <c r="H1681" i="5"/>
  <c r="G1681" i="5"/>
  <c r="F1681" i="5"/>
  <c r="E1681" i="5"/>
  <c r="D1681" i="5"/>
  <c r="C1681" i="5"/>
  <c r="B1681" i="5"/>
  <c r="I1680" i="5"/>
  <c r="H1680" i="5"/>
  <c r="G1680" i="5"/>
  <c r="F1680" i="5"/>
  <c r="E1680" i="5"/>
  <c r="D1680" i="5"/>
  <c r="C1680" i="5"/>
  <c r="B1680" i="5"/>
  <c r="I1679" i="5"/>
  <c r="H1679" i="5"/>
  <c r="G1679" i="5"/>
  <c r="F1679" i="5"/>
  <c r="E1679" i="5"/>
  <c r="D1679" i="5"/>
  <c r="C1679" i="5"/>
  <c r="B1679" i="5"/>
  <c r="I1678" i="5"/>
  <c r="H1678" i="5"/>
  <c r="G1678" i="5"/>
  <c r="F1678" i="5"/>
  <c r="E1678" i="5"/>
  <c r="D1678" i="5"/>
  <c r="C1678" i="5"/>
  <c r="B1678" i="5"/>
  <c r="I1677" i="5"/>
  <c r="H1677" i="5"/>
  <c r="G1677" i="5"/>
  <c r="F1677" i="5"/>
  <c r="E1677" i="5"/>
  <c r="D1677" i="5"/>
  <c r="C1677" i="5"/>
  <c r="B1677" i="5"/>
  <c r="I1676" i="5"/>
  <c r="H1676" i="5"/>
  <c r="G1676" i="5"/>
  <c r="F1676" i="5"/>
  <c r="E1676" i="5"/>
  <c r="D1676" i="5"/>
  <c r="C1676" i="5"/>
  <c r="B1676" i="5"/>
  <c r="I1675" i="5"/>
  <c r="H1675" i="5"/>
  <c r="G1675" i="5"/>
  <c r="F1675" i="5"/>
  <c r="E1675" i="5"/>
  <c r="D1675" i="5"/>
  <c r="C1675" i="5"/>
  <c r="B1675" i="5"/>
  <c r="I1674" i="5"/>
  <c r="H1674" i="5"/>
  <c r="G1674" i="5"/>
  <c r="F1674" i="5"/>
  <c r="E1674" i="5"/>
  <c r="D1674" i="5"/>
  <c r="C1674" i="5"/>
  <c r="B1674" i="5"/>
  <c r="I1673" i="5"/>
  <c r="H1673" i="5"/>
  <c r="G1673" i="5"/>
  <c r="F1673" i="5"/>
  <c r="E1673" i="5"/>
  <c r="D1673" i="5"/>
  <c r="C1673" i="5"/>
  <c r="B1673" i="5"/>
  <c r="I1672" i="5"/>
  <c r="H1672" i="5"/>
  <c r="G1672" i="5"/>
  <c r="F1672" i="5"/>
  <c r="E1672" i="5"/>
  <c r="D1672" i="5"/>
  <c r="C1672" i="5"/>
  <c r="B1672" i="5"/>
  <c r="I1671" i="5"/>
  <c r="H1671" i="5"/>
  <c r="G1671" i="5"/>
  <c r="F1671" i="5"/>
  <c r="E1671" i="5"/>
  <c r="D1671" i="5"/>
  <c r="C1671" i="5"/>
  <c r="B1671" i="5"/>
  <c r="I1670" i="5"/>
  <c r="H1670" i="5"/>
  <c r="G1670" i="5"/>
  <c r="F1670" i="5"/>
  <c r="E1670" i="5"/>
  <c r="D1670" i="5"/>
  <c r="C1670" i="5"/>
  <c r="B1670" i="5"/>
  <c r="I1669" i="5"/>
  <c r="H1669" i="5"/>
  <c r="G1669" i="5"/>
  <c r="F1669" i="5"/>
  <c r="E1669" i="5"/>
  <c r="D1669" i="5"/>
  <c r="C1669" i="5"/>
  <c r="B1669" i="5"/>
  <c r="I1668" i="5"/>
  <c r="H1668" i="5"/>
  <c r="G1668" i="5"/>
  <c r="F1668" i="5"/>
  <c r="E1668" i="5"/>
  <c r="D1668" i="5"/>
  <c r="C1668" i="5"/>
  <c r="B1668" i="5"/>
  <c r="I1667" i="5"/>
  <c r="H1667" i="5"/>
  <c r="G1667" i="5"/>
  <c r="F1667" i="5"/>
  <c r="E1667" i="5"/>
  <c r="D1667" i="5"/>
  <c r="C1667" i="5"/>
  <c r="B1667" i="5"/>
  <c r="I1666" i="5"/>
  <c r="H1666" i="5"/>
  <c r="G1666" i="5"/>
  <c r="F1666" i="5"/>
  <c r="E1666" i="5"/>
  <c r="D1666" i="5"/>
  <c r="C1666" i="5"/>
  <c r="B1666" i="5"/>
  <c r="I1665" i="5"/>
  <c r="H1665" i="5"/>
  <c r="G1665" i="5"/>
  <c r="F1665" i="5"/>
  <c r="E1665" i="5"/>
  <c r="D1665" i="5"/>
  <c r="C1665" i="5"/>
  <c r="B1665" i="5"/>
  <c r="I1664" i="5"/>
  <c r="H1664" i="5"/>
  <c r="G1664" i="5"/>
  <c r="F1664" i="5"/>
  <c r="E1664" i="5"/>
  <c r="D1664" i="5"/>
  <c r="C1664" i="5"/>
  <c r="B1664" i="5"/>
  <c r="I1663" i="5"/>
  <c r="H1663" i="5"/>
  <c r="G1663" i="5"/>
  <c r="F1663" i="5"/>
  <c r="E1663" i="5"/>
  <c r="D1663" i="5"/>
  <c r="C1663" i="5"/>
  <c r="B1663" i="5"/>
  <c r="I1662" i="5"/>
  <c r="H1662" i="5"/>
  <c r="G1662" i="5"/>
  <c r="F1662" i="5"/>
  <c r="E1662" i="5"/>
  <c r="D1662" i="5"/>
  <c r="C1662" i="5"/>
  <c r="B1662" i="5"/>
  <c r="I1661" i="5"/>
  <c r="H1661" i="5"/>
  <c r="G1661" i="5"/>
  <c r="F1661" i="5"/>
  <c r="E1661" i="5"/>
  <c r="D1661" i="5"/>
  <c r="C1661" i="5"/>
  <c r="B1661" i="5"/>
  <c r="I1660" i="5"/>
  <c r="H1660" i="5"/>
  <c r="G1660" i="5"/>
  <c r="F1660" i="5"/>
  <c r="E1660" i="5"/>
  <c r="D1660" i="5"/>
  <c r="C1660" i="5"/>
  <c r="B1660" i="5"/>
  <c r="I1659" i="5"/>
  <c r="H1659" i="5"/>
  <c r="G1659" i="5"/>
  <c r="F1659" i="5"/>
  <c r="E1659" i="5"/>
  <c r="D1659" i="5"/>
  <c r="C1659" i="5"/>
  <c r="B1659" i="5"/>
  <c r="I1658" i="5"/>
  <c r="H1658" i="5"/>
  <c r="G1658" i="5"/>
  <c r="F1658" i="5"/>
  <c r="E1658" i="5"/>
  <c r="D1658" i="5"/>
  <c r="C1658" i="5"/>
  <c r="B1658" i="5"/>
  <c r="I1657" i="5"/>
  <c r="H1657" i="5"/>
  <c r="G1657" i="5"/>
  <c r="F1657" i="5"/>
  <c r="E1657" i="5"/>
  <c r="D1657" i="5"/>
  <c r="C1657" i="5"/>
  <c r="B1657" i="5"/>
  <c r="I1656" i="5"/>
  <c r="H1656" i="5"/>
  <c r="G1656" i="5"/>
  <c r="F1656" i="5"/>
  <c r="E1656" i="5"/>
  <c r="D1656" i="5"/>
  <c r="C1656" i="5"/>
  <c r="B1656" i="5"/>
  <c r="I1655" i="5"/>
  <c r="H1655" i="5"/>
  <c r="G1655" i="5"/>
  <c r="F1655" i="5"/>
  <c r="E1655" i="5"/>
  <c r="D1655" i="5"/>
  <c r="C1655" i="5"/>
  <c r="B1655" i="5"/>
  <c r="I1654" i="5"/>
  <c r="H1654" i="5"/>
  <c r="G1654" i="5"/>
  <c r="F1654" i="5"/>
  <c r="E1654" i="5"/>
  <c r="D1654" i="5"/>
  <c r="C1654" i="5"/>
  <c r="B1654" i="5"/>
  <c r="I1653" i="5"/>
  <c r="H1653" i="5"/>
  <c r="G1653" i="5"/>
  <c r="F1653" i="5"/>
  <c r="E1653" i="5"/>
  <c r="D1653" i="5"/>
  <c r="C1653" i="5"/>
  <c r="B1653" i="5"/>
  <c r="I1652" i="5"/>
  <c r="H1652" i="5"/>
  <c r="G1652" i="5"/>
  <c r="F1652" i="5"/>
  <c r="E1652" i="5"/>
  <c r="D1652" i="5"/>
  <c r="C1652" i="5"/>
  <c r="B1652" i="5"/>
  <c r="I1651" i="5"/>
  <c r="H1651" i="5"/>
  <c r="G1651" i="5"/>
  <c r="F1651" i="5"/>
  <c r="E1651" i="5"/>
  <c r="D1651" i="5"/>
  <c r="C1651" i="5"/>
  <c r="B1651" i="5"/>
  <c r="I1650" i="5"/>
  <c r="H1650" i="5"/>
  <c r="G1650" i="5"/>
  <c r="F1650" i="5"/>
  <c r="E1650" i="5"/>
  <c r="D1650" i="5"/>
  <c r="C1650" i="5"/>
  <c r="B1650" i="5"/>
  <c r="I1649" i="5"/>
  <c r="H1649" i="5"/>
  <c r="G1649" i="5"/>
  <c r="F1649" i="5"/>
  <c r="E1649" i="5"/>
  <c r="D1649" i="5"/>
  <c r="C1649" i="5"/>
  <c r="B1649" i="5"/>
  <c r="I1648" i="5"/>
  <c r="H1648" i="5"/>
  <c r="G1648" i="5"/>
  <c r="F1648" i="5"/>
  <c r="E1648" i="5"/>
  <c r="D1648" i="5"/>
  <c r="C1648" i="5"/>
  <c r="B1648" i="5"/>
  <c r="I1647" i="5"/>
  <c r="H1647" i="5"/>
  <c r="G1647" i="5"/>
  <c r="F1647" i="5"/>
  <c r="E1647" i="5"/>
  <c r="D1647" i="5"/>
  <c r="C1647" i="5"/>
  <c r="B1647" i="5"/>
  <c r="I1646" i="5"/>
  <c r="H1646" i="5"/>
  <c r="G1646" i="5"/>
  <c r="F1646" i="5"/>
  <c r="E1646" i="5"/>
  <c r="D1646" i="5"/>
  <c r="C1646" i="5"/>
  <c r="B1646" i="5"/>
  <c r="I1645" i="5"/>
  <c r="H1645" i="5"/>
  <c r="G1645" i="5"/>
  <c r="F1645" i="5"/>
  <c r="E1645" i="5"/>
  <c r="D1645" i="5"/>
  <c r="C1645" i="5"/>
  <c r="B1645" i="5"/>
  <c r="I1644" i="5"/>
  <c r="H1644" i="5"/>
  <c r="G1644" i="5"/>
  <c r="F1644" i="5"/>
  <c r="E1644" i="5"/>
  <c r="D1644" i="5"/>
  <c r="C1644" i="5"/>
  <c r="B1644" i="5"/>
  <c r="I1643" i="5"/>
  <c r="H1643" i="5"/>
  <c r="G1643" i="5"/>
  <c r="F1643" i="5"/>
  <c r="E1643" i="5"/>
  <c r="D1643" i="5"/>
  <c r="C1643" i="5"/>
  <c r="B1643" i="5"/>
  <c r="I1642" i="5"/>
  <c r="H1642" i="5"/>
  <c r="G1642" i="5"/>
  <c r="F1642" i="5"/>
  <c r="E1642" i="5"/>
  <c r="D1642" i="5"/>
  <c r="C1642" i="5"/>
  <c r="B1642" i="5"/>
  <c r="I1641" i="5"/>
  <c r="H1641" i="5"/>
  <c r="G1641" i="5"/>
  <c r="F1641" i="5"/>
  <c r="E1641" i="5"/>
  <c r="D1641" i="5"/>
  <c r="C1641" i="5"/>
  <c r="B1641" i="5"/>
  <c r="I1640" i="5"/>
  <c r="H1640" i="5"/>
  <c r="G1640" i="5"/>
  <c r="F1640" i="5"/>
  <c r="E1640" i="5"/>
  <c r="D1640" i="5"/>
  <c r="C1640" i="5"/>
  <c r="B1640" i="5"/>
  <c r="I1639" i="5"/>
  <c r="H1639" i="5"/>
  <c r="G1639" i="5"/>
  <c r="F1639" i="5"/>
  <c r="E1639" i="5"/>
  <c r="D1639" i="5"/>
  <c r="C1639" i="5"/>
  <c r="B1639" i="5"/>
  <c r="I1638" i="5"/>
  <c r="H1638" i="5"/>
  <c r="G1638" i="5"/>
  <c r="F1638" i="5"/>
  <c r="E1638" i="5"/>
  <c r="D1638" i="5"/>
  <c r="C1638" i="5"/>
  <c r="B1638" i="5"/>
  <c r="I1637" i="5"/>
  <c r="H1637" i="5"/>
  <c r="G1637" i="5"/>
  <c r="F1637" i="5"/>
  <c r="E1637" i="5"/>
  <c r="D1637" i="5"/>
  <c r="C1637" i="5"/>
  <c r="B1637" i="5"/>
  <c r="I1636" i="5"/>
  <c r="H1636" i="5"/>
  <c r="G1636" i="5"/>
  <c r="F1636" i="5"/>
  <c r="E1636" i="5"/>
  <c r="D1636" i="5"/>
  <c r="C1636" i="5"/>
  <c r="B1636" i="5"/>
  <c r="I1635" i="5"/>
  <c r="H1635" i="5"/>
  <c r="G1635" i="5"/>
  <c r="F1635" i="5"/>
  <c r="E1635" i="5"/>
  <c r="D1635" i="5"/>
  <c r="C1635" i="5"/>
  <c r="B1635" i="5"/>
  <c r="I1634" i="5"/>
  <c r="H1634" i="5"/>
  <c r="G1634" i="5"/>
  <c r="F1634" i="5"/>
  <c r="E1634" i="5"/>
  <c r="D1634" i="5"/>
  <c r="C1634" i="5"/>
  <c r="B1634" i="5"/>
  <c r="I1633" i="5"/>
  <c r="H1633" i="5"/>
  <c r="G1633" i="5"/>
  <c r="F1633" i="5"/>
  <c r="E1633" i="5"/>
  <c r="D1633" i="5"/>
  <c r="C1633" i="5"/>
  <c r="B1633" i="5"/>
  <c r="I1632" i="5"/>
  <c r="H1632" i="5"/>
  <c r="G1632" i="5"/>
  <c r="F1632" i="5"/>
  <c r="E1632" i="5"/>
  <c r="D1632" i="5"/>
  <c r="C1632" i="5"/>
  <c r="B1632" i="5"/>
  <c r="I1631" i="5"/>
  <c r="H1631" i="5"/>
  <c r="G1631" i="5"/>
  <c r="F1631" i="5"/>
  <c r="E1631" i="5"/>
  <c r="D1631" i="5"/>
  <c r="C1631" i="5"/>
  <c r="B1631" i="5"/>
  <c r="I1630" i="5"/>
  <c r="H1630" i="5"/>
  <c r="G1630" i="5"/>
  <c r="F1630" i="5"/>
  <c r="E1630" i="5"/>
  <c r="D1630" i="5"/>
  <c r="C1630" i="5"/>
  <c r="B1630" i="5"/>
  <c r="I1629" i="5"/>
  <c r="H1629" i="5"/>
  <c r="G1629" i="5"/>
  <c r="F1629" i="5"/>
  <c r="E1629" i="5"/>
  <c r="D1629" i="5"/>
  <c r="C1629" i="5"/>
  <c r="B1629" i="5"/>
  <c r="I1628" i="5"/>
  <c r="H1628" i="5"/>
  <c r="G1628" i="5"/>
  <c r="F1628" i="5"/>
  <c r="E1628" i="5"/>
  <c r="D1628" i="5"/>
  <c r="C1628" i="5"/>
  <c r="B1628" i="5"/>
  <c r="I1627" i="5"/>
  <c r="H1627" i="5"/>
  <c r="G1627" i="5"/>
  <c r="F1627" i="5"/>
  <c r="E1627" i="5"/>
  <c r="D1627" i="5"/>
  <c r="C1627" i="5"/>
  <c r="B1627" i="5"/>
  <c r="I1626" i="5"/>
  <c r="E1626" i="5"/>
  <c r="D1626" i="5"/>
  <c r="C1626" i="5"/>
  <c r="B1626" i="5"/>
  <c r="I1625" i="5"/>
  <c r="E1625" i="5"/>
  <c r="D1625" i="5"/>
  <c r="C1625" i="5"/>
  <c r="B1625" i="5"/>
  <c r="I1624" i="5"/>
  <c r="E1624" i="5"/>
  <c r="D1624" i="5"/>
  <c r="C1624" i="5"/>
  <c r="B1624" i="5"/>
  <c r="I1623" i="5"/>
  <c r="E1623" i="5"/>
  <c r="D1623" i="5"/>
  <c r="C1623" i="5"/>
  <c r="B1623" i="5"/>
  <c r="I1622" i="5"/>
  <c r="E1622" i="5"/>
  <c r="D1622" i="5"/>
  <c r="C1622" i="5"/>
  <c r="B1622" i="5"/>
  <c r="I1621" i="5"/>
  <c r="E1621" i="5"/>
  <c r="D1621" i="5"/>
  <c r="C1621" i="5"/>
  <c r="B1621" i="5"/>
  <c r="I1620" i="5"/>
  <c r="E1620" i="5"/>
  <c r="D1620" i="5"/>
  <c r="C1620" i="5"/>
  <c r="B1620" i="5"/>
  <c r="I1619" i="5"/>
  <c r="E1619" i="5"/>
  <c r="D1619" i="5"/>
  <c r="C1619" i="5"/>
  <c r="B1619" i="5"/>
  <c r="I1618" i="5"/>
  <c r="E1618" i="5"/>
  <c r="D1618" i="5"/>
  <c r="C1618" i="5"/>
  <c r="B1618" i="5"/>
  <c r="I1617" i="5"/>
  <c r="E1617" i="5"/>
  <c r="D1617" i="5"/>
  <c r="C1617" i="5"/>
  <c r="B1617" i="5"/>
  <c r="I1616" i="5"/>
  <c r="E1616" i="5"/>
  <c r="D1616" i="5"/>
  <c r="C1616" i="5"/>
  <c r="B1616" i="5"/>
  <c r="I1615" i="5"/>
  <c r="E1615" i="5"/>
  <c r="D1615" i="5"/>
  <c r="C1615" i="5"/>
  <c r="B1615" i="5"/>
  <c r="I1614" i="5"/>
  <c r="E1614" i="5"/>
  <c r="D1614" i="5"/>
  <c r="C1614" i="5"/>
  <c r="B1614" i="5"/>
  <c r="I1613" i="5"/>
  <c r="E1613" i="5"/>
  <c r="D1613" i="5"/>
  <c r="C1613" i="5"/>
  <c r="B1613" i="5"/>
  <c r="I1612" i="5"/>
  <c r="E1612" i="5"/>
  <c r="D1612" i="5"/>
  <c r="C1612" i="5"/>
  <c r="B1612" i="5"/>
  <c r="I1611" i="5"/>
  <c r="E1611" i="5"/>
  <c r="D1611" i="5"/>
  <c r="C1611" i="5"/>
  <c r="B1611" i="5"/>
  <c r="I1610" i="5"/>
  <c r="H1610" i="5"/>
  <c r="G1610" i="5"/>
  <c r="F1610" i="5"/>
  <c r="E1610" i="5"/>
  <c r="D1610" i="5"/>
  <c r="C1610" i="5"/>
  <c r="B1610" i="5"/>
  <c r="I1609" i="5"/>
  <c r="H1609" i="5"/>
  <c r="G1609" i="5"/>
  <c r="F1609" i="5"/>
  <c r="E1609" i="5"/>
  <c r="D1609" i="5"/>
  <c r="C1609" i="5"/>
  <c r="B1609" i="5"/>
  <c r="I1608" i="5"/>
  <c r="H1608" i="5"/>
  <c r="G1608" i="5"/>
  <c r="F1608" i="5"/>
  <c r="E1608" i="5"/>
  <c r="D1608" i="5"/>
  <c r="C1608" i="5"/>
  <c r="B1608" i="5"/>
  <c r="I1607" i="5"/>
  <c r="H1607" i="5"/>
  <c r="G1607" i="5"/>
  <c r="F1607" i="5"/>
  <c r="E1607" i="5"/>
  <c r="D1607" i="5"/>
  <c r="C1607" i="5"/>
  <c r="B1607" i="5"/>
  <c r="I1606" i="5"/>
  <c r="H1606" i="5"/>
  <c r="G1606" i="5"/>
  <c r="F1606" i="5"/>
  <c r="E1606" i="5"/>
  <c r="D1606" i="5"/>
  <c r="C1606" i="5"/>
  <c r="B1606" i="5"/>
  <c r="I1605" i="5"/>
  <c r="H1605" i="5"/>
  <c r="G1605" i="5"/>
  <c r="F1605" i="5"/>
  <c r="E1605" i="5"/>
  <c r="D1605" i="5"/>
  <c r="C1605" i="5"/>
  <c r="B1605" i="5"/>
  <c r="I1604" i="5"/>
  <c r="H1604" i="5"/>
  <c r="G1604" i="5"/>
  <c r="F1604" i="5"/>
  <c r="E1604" i="5"/>
  <c r="D1604" i="5"/>
  <c r="C1604" i="5"/>
  <c r="B1604" i="5"/>
  <c r="I1603" i="5"/>
  <c r="H1603" i="5"/>
  <c r="G1603" i="5"/>
  <c r="F1603" i="5"/>
  <c r="E1603" i="5"/>
  <c r="D1603" i="5"/>
  <c r="C1603" i="5"/>
  <c r="B1603" i="5"/>
  <c r="I1602" i="5"/>
  <c r="H1602" i="5"/>
  <c r="G1602" i="5"/>
  <c r="F1602" i="5"/>
  <c r="E1602" i="5"/>
  <c r="D1602" i="5"/>
  <c r="C1602" i="5"/>
  <c r="B1602" i="5"/>
  <c r="I1601" i="5"/>
  <c r="H1601" i="5"/>
  <c r="G1601" i="5"/>
  <c r="F1601" i="5"/>
  <c r="E1601" i="5"/>
  <c r="D1601" i="5"/>
  <c r="C1601" i="5"/>
  <c r="B1601" i="5"/>
  <c r="I1600" i="5"/>
  <c r="H1600" i="5"/>
  <c r="G1600" i="5"/>
  <c r="F1600" i="5"/>
  <c r="E1600" i="5"/>
  <c r="D1600" i="5"/>
  <c r="C1600" i="5"/>
  <c r="B1600" i="5"/>
  <c r="I1599" i="5"/>
  <c r="H1599" i="5"/>
  <c r="G1599" i="5"/>
  <c r="F1599" i="5"/>
  <c r="E1599" i="5"/>
  <c r="D1599" i="5"/>
  <c r="C1599" i="5"/>
  <c r="B1599" i="5"/>
  <c r="I1598" i="5"/>
  <c r="H1598" i="5"/>
  <c r="G1598" i="5"/>
  <c r="F1598" i="5"/>
  <c r="E1598" i="5"/>
  <c r="D1598" i="5"/>
  <c r="C1598" i="5"/>
  <c r="B1598" i="5"/>
  <c r="I1597" i="5"/>
  <c r="H1597" i="5"/>
  <c r="G1597" i="5"/>
  <c r="F1597" i="5"/>
  <c r="E1597" i="5"/>
  <c r="D1597" i="5"/>
  <c r="C1597" i="5"/>
  <c r="B1597" i="5"/>
  <c r="I1596" i="5"/>
  <c r="H1596" i="5"/>
  <c r="G1596" i="5"/>
  <c r="F1596" i="5"/>
  <c r="E1596" i="5"/>
  <c r="D1596" i="5"/>
  <c r="C1596" i="5"/>
  <c r="B1596" i="5"/>
  <c r="I1595" i="5"/>
  <c r="H1595" i="5"/>
  <c r="G1595" i="5"/>
  <c r="F1595" i="5"/>
  <c r="E1595" i="5"/>
  <c r="D1595" i="5"/>
  <c r="C1595" i="5"/>
  <c r="B1595" i="5"/>
  <c r="I1594" i="5"/>
  <c r="H1594" i="5"/>
  <c r="G1594" i="5"/>
  <c r="F1594" i="5"/>
  <c r="E1594" i="5"/>
  <c r="D1594" i="5"/>
  <c r="C1594" i="5"/>
  <c r="B1594" i="5"/>
  <c r="I1593" i="5"/>
  <c r="H1593" i="5"/>
  <c r="G1593" i="5"/>
  <c r="F1593" i="5"/>
  <c r="E1593" i="5"/>
  <c r="D1593" i="5"/>
  <c r="C1593" i="5"/>
  <c r="B1593" i="5"/>
  <c r="I1592" i="5"/>
  <c r="H1592" i="5"/>
  <c r="G1592" i="5"/>
  <c r="F1592" i="5"/>
  <c r="E1592" i="5"/>
  <c r="D1592" i="5"/>
  <c r="C1592" i="5"/>
  <c r="B1592" i="5"/>
  <c r="I1591" i="5"/>
  <c r="H1591" i="5"/>
  <c r="G1591" i="5"/>
  <c r="F1591" i="5"/>
  <c r="E1591" i="5"/>
  <c r="D1591" i="5"/>
  <c r="C1591" i="5"/>
  <c r="B1591" i="5"/>
  <c r="I1590" i="5"/>
  <c r="H1590" i="5"/>
  <c r="G1590" i="5"/>
  <c r="F1590" i="5"/>
  <c r="E1590" i="5"/>
  <c r="D1590" i="5"/>
  <c r="C1590" i="5"/>
  <c r="B1590" i="5"/>
  <c r="I1589" i="5"/>
  <c r="H1589" i="5"/>
  <c r="G1589" i="5"/>
  <c r="F1589" i="5"/>
  <c r="E1589" i="5"/>
  <c r="D1589" i="5"/>
  <c r="C1589" i="5"/>
  <c r="B1589" i="5"/>
  <c r="I1588" i="5"/>
  <c r="H1588" i="5"/>
  <c r="G1588" i="5"/>
  <c r="F1588" i="5"/>
  <c r="E1588" i="5"/>
  <c r="D1588" i="5"/>
  <c r="C1588" i="5"/>
  <c r="B1588" i="5"/>
  <c r="I1587" i="5"/>
  <c r="H1587" i="5"/>
  <c r="G1587" i="5"/>
  <c r="F1587" i="5"/>
  <c r="E1587" i="5"/>
  <c r="D1587" i="5"/>
  <c r="C1587" i="5"/>
  <c r="B1587" i="5"/>
  <c r="I1586" i="5"/>
  <c r="H1586" i="5"/>
  <c r="G1586" i="5"/>
  <c r="F1586" i="5"/>
  <c r="E1586" i="5"/>
  <c r="D1586" i="5"/>
  <c r="C1586" i="5"/>
  <c r="B1586" i="5"/>
  <c r="I1585" i="5"/>
  <c r="G1585" i="5"/>
  <c r="F1585" i="5"/>
  <c r="E1585" i="5"/>
  <c r="D1585" i="5"/>
  <c r="C1585" i="5"/>
  <c r="B1585" i="5"/>
  <c r="I1584" i="5"/>
  <c r="G1584" i="5"/>
  <c r="F1584" i="5"/>
  <c r="E1584" i="5"/>
  <c r="D1584" i="5"/>
  <c r="C1584" i="5"/>
  <c r="B1584" i="5"/>
  <c r="I1583" i="5"/>
  <c r="H1583" i="5"/>
  <c r="G1583" i="5"/>
  <c r="F1583" i="5"/>
  <c r="E1583" i="5"/>
  <c r="D1583" i="5"/>
  <c r="C1583" i="5"/>
  <c r="B1583" i="5"/>
  <c r="I1582" i="5"/>
  <c r="H1582" i="5"/>
  <c r="G1582" i="5"/>
  <c r="F1582" i="5"/>
  <c r="E1582" i="5"/>
  <c r="D1582" i="5"/>
  <c r="C1582" i="5"/>
  <c r="B1582" i="5"/>
  <c r="I1581" i="5"/>
  <c r="H1581" i="5"/>
  <c r="G1581" i="5"/>
  <c r="F1581" i="5"/>
  <c r="E1581" i="5"/>
  <c r="D1581" i="5"/>
  <c r="C1581" i="5"/>
  <c r="B1581" i="5"/>
  <c r="I1580" i="5"/>
  <c r="H1580" i="5"/>
  <c r="G1580" i="5"/>
  <c r="F1580" i="5"/>
  <c r="E1580" i="5"/>
  <c r="D1580" i="5"/>
  <c r="C1580" i="5"/>
  <c r="B1580" i="5"/>
  <c r="I1579" i="5"/>
  <c r="H1579" i="5"/>
  <c r="G1579" i="5"/>
  <c r="F1579" i="5"/>
  <c r="E1579" i="5"/>
  <c r="D1579" i="5"/>
  <c r="C1579" i="5"/>
  <c r="B1579" i="5"/>
  <c r="I1578" i="5"/>
  <c r="H1578" i="5"/>
  <c r="G1578" i="5"/>
  <c r="F1578" i="5"/>
  <c r="E1578" i="5"/>
  <c r="D1578" i="5"/>
  <c r="C1578" i="5"/>
  <c r="B1578" i="5"/>
  <c r="I1577" i="5"/>
  <c r="H1577" i="5"/>
  <c r="G1577" i="5"/>
  <c r="F1577" i="5"/>
  <c r="E1577" i="5"/>
  <c r="D1577" i="5"/>
  <c r="C1577" i="5"/>
  <c r="B1577" i="5"/>
  <c r="I1576" i="5"/>
  <c r="H1576" i="5"/>
  <c r="G1576" i="5"/>
  <c r="F1576" i="5"/>
  <c r="E1576" i="5"/>
  <c r="D1576" i="5"/>
  <c r="C1576" i="5"/>
  <c r="B1576" i="5"/>
  <c r="I1575" i="5"/>
  <c r="H1575" i="5"/>
  <c r="G1575" i="5"/>
  <c r="F1575" i="5"/>
  <c r="E1575" i="5"/>
  <c r="D1575" i="5"/>
  <c r="C1575" i="5"/>
  <c r="B1575" i="5"/>
  <c r="I1574" i="5"/>
  <c r="H1574" i="5"/>
  <c r="G1574" i="5"/>
  <c r="F1574" i="5"/>
  <c r="E1574" i="5"/>
  <c r="D1574" i="5"/>
  <c r="C1574" i="5"/>
  <c r="B1574" i="5"/>
  <c r="I1573" i="5"/>
  <c r="H1573" i="5"/>
  <c r="G1573" i="5"/>
  <c r="F1573" i="5"/>
  <c r="E1573" i="5"/>
  <c r="D1573" i="5"/>
  <c r="C1573" i="5"/>
  <c r="B1573" i="5"/>
  <c r="I1572" i="5"/>
  <c r="H1572" i="5"/>
  <c r="G1572" i="5"/>
  <c r="F1572" i="5"/>
  <c r="E1572" i="5"/>
  <c r="D1572" i="5"/>
  <c r="C1572" i="5"/>
  <c r="B1572" i="5"/>
  <c r="I1571" i="5"/>
  <c r="H1571" i="5"/>
  <c r="G1571" i="5"/>
  <c r="F1571" i="5"/>
  <c r="E1571" i="5"/>
  <c r="D1571" i="5"/>
  <c r="C1571" i="5"/>
  <c r="B1571" i="5"/>
  <c r="I1570" i="5"/>
  <c r="H1570" i="5"/>
  <c r="G1570" i="5"/>
  <c r="F1570" i="5"/>
  <c r="E1570" i="5"/>
  <c r="D1570" i="5"/>
  <c r="C1570" i="5"/>
  <c r="B1570" i="5"/>
  <c r="I1569" i="5"/>
  <c r="H1569" i="5"/>
  <c r="G1569" i="5"/>
  <c r="F1569" i="5"/>
  <c r="E1569" i="5"/>
  <c r="D1569" i="5"/>
  <c r="C1569" i="5"/>
  <c r="B1569" i="5"/>
  <c r="I1568" i="5"/>
  <c r="H1568" i="5"/>
  <c r="G1568" i="5"/>
  <c r="F1568" i="5"/>
  <c r="E1568" i="5"/>
  <c r="D1568" i="5"/>
  <c r="C1568" i="5"/>
  <c r="B1568" i="5"/>
  <c r="I1567" i="5"/>
  <c r="H1567" i="5"/>
  <c r="G1567" i="5"/>
  <c r="F1567" i="5"/>
  <c r="E1567" i="5"/>
  <c r="D1567" i="5"/>
  <c r="C1567" i="5"/>
  <c r="B1567" i="5"/>
  <c r="I1566" i="5"/>
  <c r="H1566" i="5"/>
  <c r="G1566" i="5"/>
  <c r="F1566" i="5"/>
  <c r="E1566" i="5"/>
  <c r="D1566" i="5"/>
  <c r="C1566" i="5"/>
  <c r="B1566" i="5"/>
  <c r="I1565" i="5"/>
  <c r="H1565" i="5"/>
  <c r="G1565" i="5"/>
  <c r="F1565" i="5"/>
  <c r="E1565" i="5"/>
  <c r="D1565" i="5"/>
  <c r="C1565" i="5"/>
  <c r="B1565" i="5"/>
  <c r="I1564" i="5"/>
  <c r="H1564" i="5"/>
  <c r="G1564" i="5"/>
  <c r="F1564" i="5"/>
  <c r="E1564" i="5"/>
  <c r="D1564" i="5"/>
  <c r="C1564" i="5"/>
  <c r="B1564" i="5"/>
  <c r="I1563" i="5"/>
  <c r="H1563" i="5"/>
  <c r="G1563" i="5"/>
  <c r="F1563" i="5"/>
  <c r="E1563" i="5"/>
  <c r="D1563" i="5"/>
  <c r="C1563" i="5"/>
  <c r="B1563" i="5"/>
  <c r="I1562" i="5"/>
  <c r="H1562" i="5"/>
  <c r="G1562" i="5"/>
  <c r="F1562" i="5"/>
  <c r="E1562" i="5"/>
  <c r="D1562" i="5"/>
  <c r="C1562" i="5"/>
  <c r="B1562" i="5"/>
  <c r="I1561" i="5"/>
  <c r="H1561" i="5"/>
  <c r="G1561" i="5"/>
  <c r="F1561" i="5"/>
  <c r="E1561" i="5"/>
  <c r="D1561" i="5"/>
  <c r="C1561" i="5"/>
  <c r="B1561" i="5"/>
  <c r="I1560" i="5"/>
  <c r="H1560" i="5"/>
  <c r="G1560" i="5"/>
  <c r="F1560" i="5"/>
  <c r="E1560" i="5"/>
  <c r="D1560" i="5"/>
  <c r="C1560" i="5"/>
  <c r="B1560" i="5"/>
  <c r="I1559" i="5"/>
  <c r="H1559" i="5"/>
  <c r="G1559" i="5"/>
  <c r="F1559" i="5"/>
  <c r="E1559" i="5"/>
  <c r="D1559" i="5"/>
  <c r="C1559" i="5"/>
  <c r="B1559" i="5"/>
  <c r="I1558" i="5"/>
  <c r="H1558" i="5"/>
  <c r="G1558" i="5"/>
  <c r="F1558" i="5"/>
  <c r="E1558" i="5"/>
  <c r="D1558" i="5"/>
  <c r="C1558" i="5"/>
  <c r="B1558" i="5"/>
  <c r="I1557" i="5"/>
  <c r="H1557" i="5"/>
  <c r="G1557" i="5"/>
  <c r="F1557" i="5"/>
  <c r="E1557" i="5"/>
  <c r="D1557" i="5"/>
  <c r="C1557" i="5"/>
  <c r="B1557" i="5"/>
  <c r="I1556" i="5"/>
  <c r="H1556" i="5"/>
  <c r="G1556" i="5"/>
  <c r="F1556" i="5"/>
  <c r="E1556" i="5"/>
  <c r="D1556" i="5"/>
  <c r="C1556" i="5"/>
  <c r="B1556" i="5"/>
  <c r="I1555" i="5"/>
  <c r="H1555" i="5"/>
  <c r="G1555" i="5"/>
  <c r="F1555" i="5"/>
  <c r="E1555" i="5"/>
  <c r="D1555" i="5"/>
  <c r="C1555" i="5"/>
  <c r="B1555" i="5"/>
  <c r="I1554" i="5"/>
  <c r="H1554" i="5"/>
  <c r="G1554" i="5"/>
  <c r="F1554" i="5"/>
  <c r="E1554" i="5"/>
  <c r="D1554" i="5"/>
  <c r="C1554" i="5"/>
  <c r="B1554" i="5"/>
  <c r="I1553" i="5"/>
  <c r="H1553" i="5"/>
  <c r="G1553" i="5"/>
  <c r="F1553" i="5"/>
  <c r="E1553" i="5"/>
  <c r="D1553" i="5"/>
  <c r="C1553" i="5"/>
  <c r="B1553" i="5"/>
  <c r="I1552" i="5"/>
  <c r="H1552" i="5"/>
  <c r="G1552" i="5"/>
  <c r="F1552" i="5"/>
  <c r="E1552" i="5"/>
  <c r="D1552" i="5"/>
  <c r="C1552" i="5"/>
  <c r="B1552" i="5"/>
  <c r="I1551" i="5"/>
  <c r="H1551" i="5"/>
  <c r="G1551" i="5"/>
  <c r="F1551" i="5"/>
  <c r="E1551" i="5"/>
  <c r="D1551" i="5"/>
  <c r="C1551" i="5"/>
  <c r="B1551" i="5"/>
  <c r="I1550" i="5"/>
  <c r="H1550" i="5"/>
  <c r="G1550" i="5"/>
  <c r="F1550" i="5"/>
  <c r="E1550" i="5"/>
  <c r="D1550" i="5"/>
  <c r="C1550" i="5"/>
  <c r="B1550" i="5"/>
  <c r="I1549" i="5"/>
  <c r="H1549" i="5"/>
  <c r="G1549" i="5"/>
  <c r="F1549" i="5"/>
  <c r="E1549" i="5"/>
  <c r="D1549" i="5"/>
  <c r="C1549" i="5"/>
  <c r="B1549" i="5"/>
  <c r="I1548" i="5"/>
  <c r="H1548" i="5"/>
  <c r="G1548" i="5"/>
  <c r="F1548" i="5"/>
  <c r="E1548" i="5"/>
  <c r="D1548" i="5"/>
  <c r="C1548" i="5"/>
  <c r="B1548" i="5"/>
  <c r="I1547" i="5"/>
  <c r="H1547" i="5"/>
  <c r="G1547" i="5"/>
  <c r="F1547" i="5"/>
  <c r="E1547" i="5"/>
  <c r="D1547" i="5"/>
  <c r="C1547" i="5"/>
  <c r="B1547" i="5"/>
  <c r="I1546" i="5"/>
  <c r="H1546" i="5"/>
  <c r="G1546" i="5"/>
  <c r="F1546" i="5"/>
  <c r="E1546" i="5"/>
  <c r="D1546" i="5"/>
  <c r="C1546" i="5"/>
  <c r="B1546" i="5"/>
  <c r="I1545" i="5"/>
  <c r="H1545" i="5"/>
  <c r="G1545" i="5"/>
  <c r="F1545" i="5"/>
  <c r="E1545" i="5"/>
  <c r="D1545" i="5"/>
  <c r="C1545" i="5"/>
  <c r="B1545" i="5"/>
  <c r="I1544" i="5"/>
  <c r="H1544" i="5"/>
  <c r="G1544" i="5"/>
  <c r="F1544" i="5"/>
  <c r="E1544" i="5"/>
  <c r="D1544" i="5"/>
  <c r="C1544" i="5"/>
  <c r="B1544" i="5"/>
  <c r="I1543" i="5"/>
  <c r="H1543" i="5"/>
  <c r="G1543" i="5"/>
  <c r="F1543" i="5"/>
  <c r="E1543" i="5"/>
  <c r="D1543" i="5"/>
  <c r="C1543" i="5"/>
  <c r="B1543" i="5"/>
  <c r="I1542" i="5"/>
  <c r="H1542" i="5"/>
  <c r="G1542" i="5"/>
  <c r="F1542" i="5"/>
  <c r="E1542" i="5"/>
  <c r="D1542" i="5"/>
  <c r="C1542" i="5"/>
  <c r="B1542" i="5"/>
  <c r="I1541" i="5"/>
  <c r="H1541" i="5"/>
  <c r="G1541" i="5"/>
  <c r="F1541" i="5"/>
  <c r="E1541" i="5"/>
  <c r="D1541" i="5"/>
  <c r="C1541" i="5"/>
  <c r="B1541" i="5"/>
  <c r="I1540" i="5"/>
  <c r="H1540" i="5"/>
  <c r="G1540" i="5"/>
  <c r="F1540" i="5"/>
  <c r="E1540" i="5"/>
  <c r="D1540" i="5"/>
  <c r="C1540" i="5"/>
  <c r="B1540" i="5"/>
  <c r="I1539" i="5"/>
  <c r="H1539" i="5"/>
  <c r="G1539" i="5"/>
  <c r="F1539" i="5"/>
  <c r="E1539" i="5"/>
  <c r="D1539" i="5"/>
  <c r="C1539" i="5"/>
  <c r="B1539" i="5"/>
  <c r="I1538" i="5"/>
  <c r="H1538" i="5"/>
  <c r="G1538" i="5"/>
  <c r="F1538" i="5"/>
  <c r="E1538" i="5"/>
  <c r="D1538" i="5"/>
  <c r="C1538" i="5"/>
  <c r="B1538" i="5"/>
  <c r="I1537" i="5"/>
  <c r="H1537" i="5"/>
  <c r="G1537" i="5"/>
  <c r="F1537" i="5"/>
  <c r="E1537" i="5"/>
  <c r="D1537" i="5"/>
  <c r="C1537" i="5"/>
  <c r="B1537" i="5"/>
  <c r="I1536" i="5"/>
  <c r="H1536" i="5"/>
  <c r="G1536" i="5"/>
  <c r="F1536" i="5"/>
  <c r="E1536" i="5"/>
  <c r="D1536" i="5"/>
  <c r="C1536" i="5"/>
  <c r="B1536" i="5"/>
  <c r="I1535" i="5"/>
  <c r="H1535" i="5"/>
  <c r="G1535" i="5"/>
  <c r="F1535" i="5"/>
  <c r="E1535" i="5"/>
  <c r="D1535" i="5"/>
  <c r="C1535" i="5"/>
  <c r="B1535" i="5"/>
  <c r="I1534" i="5"/>
  <c r="H1534" i="5"/>
  <c r="G1534" i="5"/>
  <c r="F1534" i="5"/>
  <c r="E1534" i="5"/>
  <c r="D1534" i="5"/>
  <c r="C1534" i="5"/>
  <c r="B1534" i="5"/>
  <c r="I1533" i="5"/>
  <c r="H1533" i="5"/>
  <c r="G1533" i="5"/>
  <c r="F1533" i="5"/>
  <c r="E1533" i="5"/>
  <c r="D1533" i="5"/>
  <c r="C1533" i="5"/>
  <c r="B1533" i="5"/>
  <c r="I1532" i="5"/>
  <c r="H1532" i="5"/>
  <c r="G1532" i="5"/>
  <c r="F1532" i="5"/>
  <c r="E1532" i="5"/>
  <c r="D1532" i="5"/>
  <c r="C1532" i="5"/>
  <c r="B1532" i="5"/>
  <c r="I1531" i="5"/>
  <c r="H1531" i="5"/>
  <c r="G1531" i="5"/>
  <c r="F1531" i="5"/>
  <c r="E1531" i="5"/>
  <c r="D1531" i="5"/>
  <c r="C1531" i="5"/>
  <c r="B1531" i="5"/>
  <c r="I1530" i="5"/>
  <c r="H1530" i="5"/>
  <c r="G1530" i="5"/>
  <c r="F1530" i="5"/>
  <c r="E1530" i="5"/>
  <c r="D1530" i="5"/>
  <c r="C1530" i="5"/>
  <c r="B1530" i="5"/>
  <c r="I1529" i="5"/>
  <c r="H1529" i="5"/>
  <c r="G1529" i="5"/>
  <c r="F1529" i="5"/>
  <c r="E1529" i="5"/>
  <c r="D1529" i="5"/>
  <c r="C1529" i="5"/>
  <c r="B1529" i="5"/>
  <c r="I1528" i="5"/>
  <c r="H1528" i="5"/>
  <c r="G1528" i="5"/>
  <c r="F1528" i="5"/>
  <c r="E1528" i="5"/>
  <c r="D1528" i="5"/>
  <c r="C1528" i="5"/>
  <c r="B1528" i="5"/>
  <c r="I1527" i="5"/>
  <c r="H1527" i="5"/>
  <c r="G1527" i="5"/>
  <c r="F1527" i="5"/>
  <c r="E1527" i="5"/>
  <c r="D1527" i="5"/>
  <c r="C1527" i="5"/>
  <c r="B1527" i="5"/>
  <c r="I1526" i="5"/>
  <c r="H1526" i="5"/>
  <c r="G1526" i="5"/>
  <c r="F1526" i="5"/>
  <c r="E1526" i="5"/>
  <c r="D1526" i="5"/>
  <c r="C1526" i="5"/>
  <c r="B1526" i="5"/>
  <c r="I1525" i="5"/>
  <c r="H1525" i="5"/>
  <c r="G1525" i="5"/>
  <c r="F1525" i="5"/>
  <c r="E1525" i="5"/>
  <c r="D1525" i="5"/>
  <c r="C1525" i="5"/>
  <c r="B1525" i="5"/>
  <c r="I1524" i="5"/>
  <c r="H1524" i="5"/>
  <c r="G1524" i="5"/>
  <c r="F1524" i="5"/>
  <c r="E1524" i="5"/>
  <c r="D1524" i="5"/>
  <c r="C1524" i="5"/>
  <c r="B1524" i="5"/>
  <c r="I1523" i="5"/>
  <c r="H1523" i="5"/>
  <c r="G1523" i="5"/>
  <c r="F1523" i="5"/>
  <c r="E1523" i="5"/>
  <c r="D1523" i="5"/>
  <c r="C1523" i="5"/>
  <c r="B1523" i="5"/>
  <c r="I1522" i="5"/>
  <c r="H1522" i="5"/>
  <c r="G1522" i="5"/>
  <c r="F1522" i="5"/>
  <c r="E1522" i="5"/>
  <c r="D1522" i="5"/>
  <c r="C1522" i="5"/>
  <c r="B1522" i="5"/>
  <c r="I1521" i="5"/>
  <c r="H1521" i="5"/>
  <c r="G1521" i="5"/>
  <c r="F1521" i="5"/>
  <c r="E1521" i="5"/>
  <c r="D1521" i="5"/>
  <c r="C1521" i="5"/>
  <c r="B1521" i="5"/>
  <c r="I1520" i="5"/>
  <c r="H1520" i="5"/>
  <c r="G1520" i="5"/>
  <c r="F1520" i="5"/>
  <c r="E1520" i="5"/>
  <c r="D1520" i="5"/>
  <c r="C1520" i="5"/>
  <c r="B1520" i="5"/>
  <c r="I1519" i="5"/>
  <c r="H1519" i="5"/>
  <c r="G1519" i="5"/>
  <c r="F1519" i="5"/>
  <c r="E1519" i="5"/>
  <c r="D1519" i="5"/>
  <c r="C1519" i="5"/>
  <c r="B1519" i="5"/>
  <c r="I1518" i="5"/>
  <c r="H1518" i="5"/>
  <c r="G1518" i="5"/>
  <c r="F1518" i="5"/>
  <c r="E1518" i="5"/>
  <c r="D1518" i="5"/>
  <c r="C1518" i="5"/>
  <c r="B1518" i="5"/>
  <c r="I1517" i="5"/>
  <c r="H1517" i="5"/>
  <c r="G1517" i="5"/>
  <c r="F1517" i="5"/>
  <c r="E1517" i="5"/>
  <c r="D1517" i="5"/>
  <c r="C1517" i="5"/>
  <c r="B1517" i="5"/>
  <c r="I1516" i="5"/>
  <c r="H1516" i="5"/>
  <c r="G1516" i="5"/>
  <c r="F1516" i="5"/>
  <c r="E1516" i="5"/>
  <c r="D1516" i="5"/>
  <c r="C1516" i="5"/>
  <c r="B1516" i="5"/>
  <c r="I1515" i="5"/>
  <c r="H1515" i="5"/>
  <c r="G1515" i="5"/>
  <c r="F1515" i="5"/>
  <c r="E1515" i="5"/>
  <c r="D1515" i="5"/>
  <c r="C1515" i="5"/>
  <c r="B1515" i="5"/>
  <c r="I1514" i="5"/>
  <c r="H1514" i="5"/>
  <c r="G1514" i="5"/>
  <c r="F1514" i="5"/>
  <c r="E1514" i="5"/>
  <c r="D1514" i="5"/>
  <c r="C1514" i="5"/>
  <c r="B1514" i="5"/>
  <c r="I1513" i="5"/>
  <c r="H1513" i="5"/>
  <c r="G1513" i="5"/>
  <c r="F1513" i="5"/>
  <c r="E1513" i="5"/>
  <c r="D1513" i="5"/>
  <c r="C1513" i="5"/>
  <c r="B1513" i="5"/>
  <c r="I1512" i="5"/>
  <c r="H1512" i="5"/>
  <c r="G1512" i="5"/>
  <c r="F1512" i="5"/>
  <c r="E1512" i="5"/>
  <c r="D1512" i="5"/>
  <c r="C1512" i="5"/>
  <c r="B1512" i="5"/>
  <c r="I1511" i="5"/>
  <c r="H1511" i="5"/>
  <c r="G1511" i="5"/>
  <c r="F1511" i="5"/>
  <c r="E1511" i="5"/>
  <c r="D1511" i="5"/>
  <c r="C1511" i="5"/>
  <c r="B1511" i="5"/>
  <c r="I1510" i="5"/>
  <c r="H1510" i="5"/>
  <c r="G1510" i="5"/>
  <c r="F1510" i="5"/>
  <c r="E1510" i="5"/>
  <c r="D1510" i="5"/>
  <c r="C1510" i="5"/>
  <c r="B1510" i="5"/>
  <c r="I1509" i="5"/>
  <c r="H1509" i="5"/>
  <c r="G1509" i="5"/>
  <c r="F1509" i="5"/>
  <c r="E1509" i="5"/>
  <c r="D1509" i="5"/>
  <c r="C1509" i="5"/>
  <c r="B1509" i="5"/>
  <c r="I1508" i="5"/>
  <c r="H1508" i="5"/>
  <c r="G1508" i="5"/>
  <c r="F1508" i="5"/>
  <c r="E1508" i="5"/>
  <c r="D1508" i="5"/>
  <c r="C1508" i="5"/>
  <c r="B1508" i="5"/>
  <c r="I1507" i="5"/>
  <c r="H1507" i="5"/>
  <c r="G1507" i="5"/>
  <c r="F1507" i="5"/>
  <c r="E1507" i="5"/>
  <c r="D1507" i="5"/>
  <c r="C1507" i="5"/>
  <c r="B1507" i="5"/>
  <c r="I1506" i="5"/>
  <c r="H1506" i="5"/>
  <c r="G1506" i="5"/>
  <c r="F1506" i="5"/>
  <c r="E1506" i="5"/>
  <c r="D1506" i="5"/>
  <c r="C1506" i="5"/>
  <c r="B1506" i="5"/>
  <c r="I1505" i="5"/>
  <c r="H1505" i="5"/>
  <c r="G1505" i="5"/>
  <c r="F1505" i="5"/>
  <c r="E1505" i="5"/>
  <c r="D1505" i="5"/>
  <c r="C1505" i="5"/>
  <c r="B1505" i="5"/>
  <c r="I1504" i="5"/>
  <c r="H1504" i="5"/>
  <c r="G1504" i="5"/>
  <c r="F1504" i="5"/>
  <c r="E1504" i="5"/>
  <c r="D1504" i="5"/>
  <c r="C1504" i="5"/>
  <c r="B1504" i="5"/>
  <c r="I1503" i="5"/>
  <c r="H1503" i="5"/>
  <c r="G1503" i="5"/>
  <c r="F1503" i="5"/>
  <c r="E1503" i="5"/>
  <c r="D1503" i="5"/>
  <c r="C1503" i="5"/>
  <c r="B1503" i="5"/>
  <c r="I1502" i="5"/>
  <c r="H1502" i="5"/>
  <c r="G1502" i="5"/>
  <c r="F1502" i="5"/>
  <c r="E1502" i="5"/>
  <c r="D1502" i="5"/>
  <c r="C1502" i="5"/>
  <c r="B1502" i="5"/>
  <c r="I1501" i="5"/>
  <c r="H1501" i="5"/>
  <c r="G1501" i="5"/>
  <c r="F1501" i="5"/>
  <c r="E1501" i="5"/>
  <c r="D1501" i="5"/>
  <c r="C1501" i="5"/>
  <c r="B1501" i="5"/>
  <c r="I1500" i="5"/>
  <c r="H1500" i="5"/>
  <c r="G1500" i="5"/>
  <c r="F1500" i="5"/>
  <c r="E1500" i="5"/>
  <c r="D1500" i="5"/>
  <c r="C1500" i="5"/>
  <c r="B1500" i="5"/>
  <c r="I1499" i="5"/>
  <c r="H1499" i="5"/>
  <c r="G1499" i="5"/>
  <c r="F1499" i="5"/>
  <c r="E1499" i="5"/>
  <c r="D1499" i="5"/>
  <c r="C1499" i="5"/>
  <c r="B1499" i="5"/>
  <c r="I1498" i="5"/>
  <c r="H1498" i="5"/>
  <c r="G1498" i="5"/>
  <c r="F1498" i="5"/>
  <c r="E1498" i="5"/>
  <c r="D1498" i="5"/>
  <c r="C1498" i="5"/>
  <c r="B1498" i="5"/>
  <c r="I1497" i="5"/>
  <c r="H1497" i="5"/>
  <c r="G1497" i="5"/>
  <c r="F1497" i="5"/>
  <c r="E1497" i="5"/>
  <c r="D1497" i="5"/>
  <c r="C1497" i="5"/>
  <c r="B1497" i="5"/>
  <c r="I1496" i="5"/>
  <c r="H1496" i="5"/>
  <c r="G1496" i="5"/>
  <c r="F1496" i="5"/>
  <c r="E1496" i="5"/>
  <c r="D1496" i="5"/>
  <c r="C1496" i="5"/>
  <c r="B1496" i="5"/>
  <c r="I1495" i="5"/>
  <c r="H1495" i="5"/>
  <c r="G1495" i="5"/>
  <c r="F1495" i="5"/>
  <c r="E1495" i="5"/>
  <c r="D1495" i="5"/>
  <c r="C1495" i="5"/>
  <c r="B1495" i="5"/>
  <c r="I1494" i="5"/>
  <c r="H1494" i="5"/>
  <c r="G1494" i="5"/>
  <c r="F1494" i="5"/>
  <c r="E1494" i="5"/>
  <c r="D1494" i="5"/>
  <c r="C1494" i="5"/>
  <c r="B1494" i="5"/>
  <c r="I1493" i="5"/>
  <c r="H1493" i="5"/>
  <c r="G1493" i="5"/>
  <c r="F1493" i="5"/>
  <c r="E1493" i="5"/>
  <c r="D1493" i="5"/>
  <c r="C1493" i="5"/>
  <c r="B1493" i="5"/>
  <c r="I1492" i="5"/>
  <c r="H1492" i="5"/>
  <c r="G1492" i="5"/>
  <c r="F1492" i="5"/>
  <c r="E1492" i="5"/>
  <c r="D1492" i="5"/>
  <c r="C1492" i="5"/>
  <c r="B1492" i="5"/>
  <c r="I1491" i="5"/>
  <c r="H1491" i="5"/>
  <c r="G1491" i="5"/>
  <c r="F1491" i="5"/>
  <c r="E1491" i="5"/>
  <c r="D1491" i="5"/>
  <c r="C1491" i="5"/>
  <c r="B1491" i="5"/>
  <c r="I1490" i="5"/>
  <c r="H1490" i="5"/>
  <c r="G1490" i="5"/>
  <c r="F1490" i="5"/>
  <c r="E1490" i="5"/>
  <c r="D1490" i="5"/>
  <c r="C1490" i="5"/>
  <c r="B1490" i="5"/>
  <c r="I1489" i="5"/>
  <c r="H1489" i="5"/>
  <c r="G1489" i="5"/>
  <c r="F1489" i="5"/>
  <c r="E1489" i="5"/>
  <c r="D1489" i="5"/>
  <c r="C1489" i="5"/>
  <c r="B1489" i="5"/>
  <c r="I1488" i="5"/>
  <c r="H1488" i="5"/>
  <c r="G1488" i="5"/>
  <c r="F1488" i="5"/>
  <c r="E1488" i="5"/>
  <c r="D1488" i="5"/>
  <c r="C1488" i="5"/>
  <c r="B1488" i="5"/>
  <c r="I1487" i="5"/>
  <c r="H1487" i="5"/>
  <c r="G1487" i="5"/>
  <c r="F1487" i="5"/>
  <c r="E1487" i="5"/>
  <c r="D1487" i="5"/>
  <c r="C1487" i="5"/>
  <c r="B1487" i="5"/>
  <c r="I1486" i="5"/>
  <c r="H1486" i="5"/>
  <c r="G1486" i="5"/>
  <c r="F1486" i="5"/>
  <c r="E1486" i="5"/>
  <c r="D1486" i="5"/>
  <c r="C1486" i="5"/>
  <c r="B1486" i="5"/>
  <c r="I1485" i="5"/>
  <c r="H1485" i="5"/>
  <c r="G1485" i="5"/>
  <c r="F1485" i="5"/>
  <c r="E1485" i="5"/>
  <c r="D1485" i="5"/>
  <c r="C1485" i="5"/>
  <c r="B1485" i="5"/>
  <c r="I1484" i="5"/>
  <c r="H1484" i="5"/>
  <c r="G1484" i="5"/>
  <c r="F1484" i="5"/>
  <c r="E1484" i="5"/>
  <c r="D1484" i="5"/>
  <c r="C1484" i="5"/>
  <c r="B1484" i="5"/>
  <c r="I1483" i="5"/>
  <c r="H1483" i="5"/>
  <c r="G1483" i="5"/>
  <c r="F1483" i="5"/>
  <c r="E1483" i="5"/>
  <c r="D1483" i="5"/>
  <c r="C1483" i="5"/>
  <c r="B1483" i="5"/>
  <c r="I1482" i="5"/>
  <c r="H1482" i="5"/>
  <c r="G1482" i="5"/>
  <c r="F1482" i="5"/>
  <c r="E1482" i="5"/>
  <c r="D1482" i="5"/>
  <c r="C1482" i="5"/>
  <c r="B1482" i="5"/>
  <c r="I1481" i="5"/>
  <c r="H1481" i="5"/>
  <c r="G1481" i="5"/>
  <c r="F1481" i="5"/>
  <c r="E1481" i="5"/>
  <c r="D1481" i="5"/>
  <c r="C1481" i="5"/>
  <c r="B1481" i="5"/>
  <c r="I1480" i="5"/>
  <c r="H1480" i="5"/>
  <c r="G1480" i="5"/>
  <c r="F1480" i="5"/>
  <c r="E1480" i="5"/>
  <c r="D1480" i="5"/>
  <c r="C1480" i="5"/>
  <c r="B1480" i="5"/>
  <c r="I1479" i="5"/>
  <c r="H1479" i="5"/>
  <c r="G1479" i="5"/>
  <c r="F1479" i="5"/>
  <c r="E1479" i="5"/>
  <c r="D1479" i="5"/>
  <c r="C1479" i="5"/>
  <c r="B1479" i="5"/>
  <c r="I1478" i="5"/>
  <c r="H1478" i="5"/>
  <c r="G1478" i="5"/>
  <c r="F1478" i="5"/>
  <c r="E1478" i="5"/>
  <c r="D1478" i="5"/>
  <c r="C1478" i="5"/>
  <c r="B1478" i="5"/>
  <c r="I1477" i="5"/>
  <c r="H1477" i="5"/>
  <c r="G1477" i="5"/>
  <c r="F1477" i="5"/>
  <c r="E1477" i="5"/>
  <c r="D1477" i="5"/>
  <c r="C1477" i="5"/>
  <c r="B1477" i="5"/>
  <c r="I1476" i="5"/>
  <c r="H1476" i="5"/>
  <c r="G1476" i="5"/>
  <c r="F1476" i="5"/>
  <c r="E1476" i="5"/>
  <c r="D1476" i="5"/>
  <c r="C1476" i="5"/>
  <c r="B1476" i="5"/>
  <c r="I1475" i="5"/>
  <c r="H1475" i="5"/>
  <c r="G1475" i="5"/>
  <c r="F1475" i="5"/>
  <c r="E1475" i="5"/>
  <c r="D1475" i="5"/>
  <c r="C1475" i="5"/>
  <c r="B1475" i="5"/>
  <c r="I1474" i="5"/>
  <c r="H1474" i="5"/>
  <c r="G1474" i="5"/>
  <c r="F1474" i="5"/>
  <c r="E1474" i="5"/>
  <c r="D1474" i="5"/>
  <c r="C1474" i="5"/>
  <c r="B1474" i="5"/>
  <c r="I1473" i="5"/>
  <c r="H1473" i="5"/>
  <c r="G1473" i="5"/>
  <c r="F1473" i="5"/>
  <c r="E1473" i="5"/>
  <c r="D1473" i="5"/>
  <c r="C1473" i="5"/>
  <c r="B1473" i="5"/>
  <c r="I1472" i="5"/>
  <c r="H1472" i="5"/>
  <c r="G1472" i="5"/>
  <c r="F1472" i="5"/>
  <c r="E1472" i="5"/>
  <c r="D1472" i="5"/>
  <c r="C1472" i="5"/>
  <c r="B1472" i="5"/>
  <c r="I1471" i="5"/>
  <c r="H1471" i="5"/>
  <c r="G1471" i="5"/>
  <c r="F1471" i="5"/>
  <c r="E1471" i="5"/>
  <c r="D1471" i="5"/>
  <c r="C1471" i="5"/>
  <c r="B1471" i="5"/>
  <c r="I1470" i="5"/>
  <c r="H1470" i="5"/>
  <c r="G1470" i="5"/>
  <c r="F1470" i="5"/>
  <c r="E1470" i="5"/>
  <c r="D1470" i="5"/>
  <c r="C1470" i="5"/>
  <c r="B1470" i="5"/>
  <c r="I1469" i="5"/>
  <c r="H1469" i="5"/>
  <c r="G1469" i="5"/>
  <c r="F1469" i="5"/>
  <c r="E1469" i="5"/>
  <c r="D1469" i="5"/>
  <c r="C1469" i="5"/>
  <c r="B1469" i="5"/>
  <c r="I1468" i="5"/>
  <c r="H1468" i="5"/>
  <c r="G1468" i="5"/>
  <c r="F1468" i="5"/>
  <c r="E1468" i="5"/>
  <c r="D1468" i="5"/>
  <c r="C1468" i="5"/>
  <c r="B1468" i="5"/>
  <c r="I1467" i="5"/>
  <c r="H1467" i="5"/>
  <c r="G1467" i="5"/>
  <c r="F1467" i="5"/>
  <c r="E1467" i="5"/>
  <c r="D1467" i="5"/>
  <c r="C1467" i="5"/>
  <c r="B1467" i="5"/>
  <c r="I1466" i="5"/>
  <c r="H1466" i="5"/>
  <c r="G1466" i="5"/>
  <c r="F1466" i="5"/>
  <c r="E1466" i="5"/>
  <c r="D1466" i="5"/>
  <c r="C1466" i="5"/>
  <c r="B1466" i="5"/>
  <c r="I1465" i="5"/>
  <c r="H1465" i="5"/>
  <c r="G1465" i="5"/>
  <c r="F1465" i="5"/>
  <c r="E1465" i="5"/>
  <c r="D1465" i="5"/>
  <c r="C1465" i="5"/>
  <c r="B1465" i="5"/>
  <c r="I1464" i="5"/>
  <c r="H1464" i="5"/>
  <c r="G1464" i="5"/>
  <c r="F1464" i="5"/>
  <c r="E1464" i="5"/>
  <c r="D1464" i="5"/>
  <c r="C1464" i="5"/>
  <c r="B1464" i="5"/>
  <c r="I1463" i="5"/>
  <c r="H1463" i="5"/>
  <c r="G1463" i="5"/>
  <c r="F1463" i="5"/>
  <c r="E1463" i="5"/>
  <c r="D1463" i="5"/>
  <c r="C1463" i="5"/>
  <c r="B1463" i="5"/>
  <c r="I1462" i="5"/>
  <c r="H1462" i="5"/>
  <c r="G1462" i="5"/>
  <c r="F1462" i="5"/>
  <c r="E1462" i="5"/>
  <c r="D1462" i="5"/>
  <c r="C1462" i="5"/>
  <c r="B1462" i="5"/>
  <c r="I1461" i="5"/>
  <c r="H1461" i="5"/>
  <c r="G1461" i="5"/>
  <c r="F1461" i="5"/>
  <c r="E1461" i="5"/>
  <c r="D1461" i="5"/>
  <c r="C1461" i="5"/>
  <c r="B1461" i="5"/>
  <c r="I1460" i="5"/>
  <c r="H1460" i="5"/>
  <c r="G1460" i="5"/>
  <c r="F1460" i="5"/>
  <c r="E1460" i="5"/>
  <c r="D1460" i="5"/>
  <c r="C1460" i="5"/>
  <c r="B1460" i="5"/>
  <c r="I1459" i="5"/>
  <c r="H1459" i="5"/>
  <c r="G1459" i="5"/>
  <c r="F1459" i="5"/>
  <c r="E1459" i="5"/>
  <c r="D1459" i="5"/>
  <c r="C1459" i="5"/>
  <c r="B1459" i="5"/>
  <c r="I1458" i="5"/>
  <c r="H1458" i="5"/>
  <c r="G1458" i="5"/>
  <c r="F1458" i="5"/>
  <c r="E1458" i="5"/>
  <c r="D1458" i="5"/>
  <c r="C1458" i="5"/>
  <c r="B1458" i="5"/>
  <c r="I1457" i="5"/>
  <c r="H1457" i="5"/>
  <c r="G1457" i="5"/>
  <c r="F1457" i="5"/>
  <c r="E1457" i="5"/>
  <c r="D1457" i="5"/>
  <c r="C1457" i="5"/>
  <c r="B1457" i="5"/>
  <c r="I1456" i="5"/>
  <c r="H1456" i="5"/>
  <c r="G1456" i="5"/>
  <c r="F1456" i="5"/>
  <c r="E1456" i="5"/>
  <c r="D1456" i="5"/>
  <c r="C1456" i="5"/>
  <c r="B1456" i="5"/>
  <c r="I1455" i="5"/>
  <c r="H1455" i="5"/>
  <c r="G1455" i="5"/>
  <c r="F1455" i="5"/>
  <c r="E1455" i="5"/>
  <c r="D1455" i="5"/>
  <c r="C1455" i="5"/>
  <c r="B1455" i="5"/>
  <c r="I1454" i="5"/>
  <c r="H1454" i="5"/>
  <c r="G1454" i="5"/>
  <c r="F1454" i="5"/>
  <c r="E1454" i="5"/>
  <c r="D1454" i="5"/>
  <c r="C1454" i="5"/>
  <c r="B1454" i="5"/>
  <c r="I1453" i="5"/>
  <c r="H1453" i="5"/>
  <c r="G1453" i="5"/>
  <c r="F1453" i="5"/>
  <c r="E1453" i="5"/>
  <c r="D1453" i="5"/>
  <c r="C1453" i="5"/>
  <c r="B1453" i="5"/>
  <c r="I1452" i="5"/>
  <c r="H1452" i="5"/>
  <c r="G1452" i="5"/>
  <c r="F1452" i="5"/>
  <c r="E1452" i="5"/>
  <c r="D1452" i="5"/>
  <c r="C1452" i="5"/>
  <c r="B1452" i="5"/>
  <c r="I1451" i="5"/>
  <c r="H1451" i="5"/>
  <c r="G1451" i="5"/>
  <c r="F1451" i="5"/>
  <c r="E1451" i="5"/>
  <c r="D1451" i="5"/>
  <c r="C1451" i="5"/>
  <c r="B1451" i="5"/>
  <c r="I1450" i="5"/>
  <c r="H1450" i="5"/>
  <c r="G1450" i="5"/>
  <c r="F1450" i="5"/>
  <c r="E1450" i="5"/>
  <c r="D1450" i="5"/>
  <c r="C1450" i="5"/>
  <c r="B1450" i="5"/>
  <c r="I1449" i="5"/>
  <c r="H1449" i="5"/>
  <c r="G1449" i="5"/>
  <c r="F1449" i="5"/>
  <c r="E1449" i="5"/>
  <c r="D1449" i="5"/>
  <c r="C1449" i="5"/>
  <c r="B1449" i="5"/>
  <c r="I1448" i="5"/>
  <c r="H1448" i="5"/>
  <c r="G1448" i="5"/>
  <c r="F1448" i="5"/>
  <c r="E1448" i="5"/>
  <c r="D1448" i="5"/>
  <c r="C1448" i="5"/>
  <c r="B1448" i="5"/>
  <c r="I1447" i="5"/>
  <c r="H1447" i="5"/>
  <c r="G1447" i="5"/>
  <c r="F1447" i="5"/>
  <c r="E1447" i="5"/>
  <c r="D1447" i="5"/>
  <c r="C1447" i="5"/>
  <c r="B1447" i="5"/>
  <c r="I1446" i="5"/>
  <c r="H1446" i="5"/>
  <c r="G1446" i="5"/>
  <c r="F1446" i="5"/>
  <c r="E1446" i="5"/>
  <c r="D1446" i="5"/>
  <c r="C1446" i="5"/>
  <c r="B1446" i="5"/>
  <c r="I1445" i="5"/>
  <c r="H1445" i="5"/>
  <c r="G1445" i="5"/>
  <c r="F1445" i="5"/>
  <c r="E1445" i="5"/>
  <c r="D1445" i="5"/>
  <c r="C1445" i="5"/>
  <c r="B1445" i="5"/>
  <c r="I1444" i="5"/>
  <c r="H1444" i="5"/>
  <c r="G1444" i="5"/>
  <c r="F1444" i="5"/>
  <c r="E1444" i="5"/>
  <c r="D1444" i="5"/>
  <c r="C1444" i="5"/>
  <c r="B1444" i="5"/>
  <c r="I1443" i="5"/>
  <c r="H1443" i="5"/>
  <c r="G1443" i="5"/>
  <c r="F1443" i="5"/>
  <c r="E1443" i="5"/>
  <c r="D1443" i="5"/>
  <c r="C1443" i="5"/>
  <c r="B1443" i="5"/>
  <c r="I1442" i="5"/>
  <c r="H1442" i="5"/>
  <c r="G1442" i="5"/>
  <c r="F1442" i="5"/>
  <c r="E1442" i="5"/>
  <c r="D1442" i="5"/>
  <c r="C1442" i="5"/>
  <c r="B1442" i="5"/>
  <c r="I1441" i="5"/>
  <c r="H1441" i="5"/>
  <c r="G1441" i="5"/>
  <c r="F1441" i="5"/>
  <c r="E1441" i="5"/>
  <c r="D1441" i="5"/>
  <c r="C1441" i="5"/>
  <c r="B1441" i="5"/>
  <c r="I1440" i="5"/>
  <c r="H1440" i="5"/>
  <c r="G1440" i="5"/>
  <c r="F1440" i="5"/>
  <c r="E1440" i="5"/>
  <c r="D1440" i="5"/>
  <c r="C1440" i="5"/>
  <c r="B1440" i="5"/>
  <c r="I1439" i="5"/>
  <c r="H1439" i="5"/>
  <c r="G1439" i="5"/>
  <c r="F1439" i="5"/>
  <c r="E1439" i="5"/>
  <c r="D1439" i="5"/>
  <c r="C1439" i="5"/>
  <c r="B1439" i="5"/>
  <c r="I1438" i="5"/>
  <c r="H1438" i="5"/>
  <c r="G1438" i="5"/>
  <c r="F1438" i="5"/>
  <c r="E1438" i="5"/>
  <c r="D1438" i="5"/>
  <c r="C1438" i="5"/>
  <c r="B1438" i="5"/>
  <c r="I1437" i="5"/>
  <c r="H1437" i="5"/>
  <c r="G1437" i="5"/>
  <c r="F1437" i="5"/>
  <c r="E1437" i="5"/>
  <c r="D1437" i="5"/>
  <c r="C1437" i="5"/>
  <c r="B1437" i="5"/>
  <c r="I1436" i="5"/>
  <c r="H1436" i="5"/>
  <c r="G1436" i="5"/>
  <c r="F1436" i="5"/>
  <c r="E1436" i="5"/>
  <c r="D1436" i="5"/>
  <c r="C1436" i="5"/>
  <c r="B1436" i="5"/>
  <c r="I1435" i="5"/>
  <c r="H1435" i="5"/>
  <c r="G1435" i="5"/>
  <c r="F1435" i="5"/>
  <c r="E1435" i="5"/>
  <c r="D1435" i="5"/>
  <c r="C1435" i="5"/>
  <c r="B1435" i="5"/>
  <c r="I1434" i="5"/>
  <c r="H1434" i="5"/>
  <c r="G1434" i="5"/>
  <c r="F1434" i="5"/>
  <c r="E1434" i="5"/>
  <c r="D1434" i="5"/>
  <c r="C1434" i="5"/>
  <c r="B1434" i="5"/>
  <c r="I1433" i="5"/>
  <c r="D1433" i="5"/>
  <c r="C1433" i="5"/>
  <c r="B1433" i="5"/>
  <c r="I1432" i="5"/>
  <c r="H1432" i="5"/>
  <c r="G1432" i="5"/>
  <c r="F1432" i="5"/>
  <c r="E1432" i="5"/>
  <c r="D1432" i="5"/>
  <c r="C1432" i="5"/>
  <c r="B1432" i="5"/>
  <c r="I1431" i="5"/>
  <c r="H1431" i="5"/>
  <c r="G1431" i="5"/>
  <c r="F1431" i="5"/>
  <c r="E1431" i="5"/>
  <c r="D1431" i="5"/>
  <c r="C1431" i="5"/>
  <c r="B1431" i="5"/>
  <c r="I1430" i="5"/>
  <c r="H1430" i="5"/>
  <c r="G1430" i="5"/>
  <c r="F1430" i="5"/>
  <c r="E1430" i="5"/>
  <c r="D1430" i="5"/>
  <c r="C1430" i="5"/>
  <c r="B1430" i="5"/>
  <c r="I1429" i="5"/>
  <c r="H1429" i="5"/>
  <c r="G1429" i="5"/>
  <c r="F1429" i="5"/>
  <c r="E1429" i="5"/>
  <c r="D1429" i="5"/>
  <c r="C1429" i="5"/>
  <c r="B1429" i="5"/>
  <c r="I1428" i="5"/>
  <c r="H1428" i="5"/>
  <c r="G1428" i="5"/>
  <c r="F1428" i="5"/>
  <c r="E1428" i="5"/>
  <c r="D1428" i="5"/>
  <c r="C1428" i="5"/>
  <c r="B1428" i="5"/>
  <c r="I1427" i="5"/>
  <c r="H1427" i="5"/>
  <c r="G1427" i="5"/>
  <c r="F1427" i="5"/>
  <c r="E1427" i="5"/>
  <c r="D1427" i="5"/>
  <c r="C1427" i="5"/>
  <c r="B1427" i="5"/>
  <c r="I1426" i="5"/>
  <c r="H1426" i="5"/>
  <c r="G1426" i="5"/>
  <c r="F1426" i="5"/>
  <c r="E1426" i="5"/>
  <c r="D1426" i="5"/>
  <c r="C1426" i="5"/>
  <c r="B1426" i="5"/>
  <c r="I1425" i="5"/>
  <c r="H1425" i="5"/>
  <c r="G1425" i="5"/>
  <c r="F1425" i="5"/>
  <c r="E1425" i="5"/>
  <c r="D1425" i="5"/>
  <c r="C1425" i="5"/>
  <c r="B1425" i="5"/>
  <c r="I1424" i="5"/>
  <c r="H1424" i="5"/>
  <c r="G1424" i="5"/>
  <c r="F1424" i="5"/>
  <c r="E1424" i="5"/>
  <c r="D1424" i="5"/>
  <c r="C1424" i="5"/>
  <c r="B1424" i="5"/>
  <c r="I1423" i="5"/>
  <c r="H1423" i="5"/>
  <c r="G1423" i="5"/>
  <c r="F1423" i="5"/>
  <c r="E1423" i="5"/>
  <c r="D1423" i="5"/>
  <c r="C1423" i="5"/>
  <c r="B1423" i="5"/>
  <c r="I1422" i="5"/>
  <c r="H1422" i="5"/>
  <c r="G1422" i="5"/>
  <c r="F1422" i="5"/>
  <c r="E1422" i="5"/>
  <c r="D1422" i="5"/>
  <c r="C1422" i="5"/>
  <c r="B1422" i="5"/>
  <c r="I1421" i="5"/>
  <c r="H1421" i="5"/>
  <c r="G1421" i="5"/>
  <c r="F1421" i="5"/>
  <c r="E1421" i="5"/>
  <c r="D1421" i="5"/>
  <c r="C1421" i="5"/>
  <c r="B1421" i="5"/>
  <c r="I1420" i="5"/>
  <c r="H1420" i="5"/>
  <c r="G1420" i="5"/>
  <c r="F1420" i="5"/>
  <c r="E1420" i="5"/>
  <c r="D1420" i="5"/>
  <c r="C1420" i="5"/>
  <c r="B1420" i="5"/>
  <c r="I1419" i="5"/>
  <c r="H1419" i="5"/>
  <c r="G1419" i="5"/>
  <c r="F1419" i="5"/>
  <c r="E1419" i="5"/>
  <c r="D1419" i="5"/>
  <c r="C1419" i="5"/>
  <c r="B1419" i="5"/>
  <c r="I1418" i="5"/>
  <c r="H1418" i="5"/>
  <c r="G1418" i="5"/>
  <c r="F1418" i="5"/>
  <c r="E1418" i="5"/>
  <c r="D1418" i="5"/>
  <c r="C1418" i="5"/>
  <c r="B1418" i="5"/>
  <c r="I1417" i="5"/>
  <c r="H1417" i="5"/>
  <c r="G1417" i="5"/>
  <c r="F1417" i="5"/>
  <c r="E1417" i="5"/>
  <c r="D1417" i="5"/>
  <c r="C1417" i="5"/>
  <c r="B1417" i="5"/>
  <c r="I1416" i="5"/>
  <c r="H1416" i="5"/>
  <c r="G1416" i="5"/>
  <c r="F1416" i="5"/>
  <c r="E1416" i="5"/>
  <c r="D1416" i="5"/>
  <c r="C1416" i="5"/>
  <c r="B1416" i="5"/>
  <c r="I1415" i="5"/>
  <c r="H1415" i="5"/>
  <c r="G1415" i="5"/>
  <c r="F1415" i="5"/>
  <c r="E1415" i="5"/>
  <c r="D1415" i="5"/>
  <c r="C1415" i="5"/>
  <c r="B1415" i="5"/>
  <c r="I1414" i="5"/>
  <c r="F1414" i="5"/>
  <c r="E1414" i="5"/>
  <c r="D1414" i="5"/>
  <c r="C1414" i="5"/>
  <c r="B1414" i="5"/>
  <c r="I1413" i="5"/>
  <c r="H1413" i="5"/>
  <c r="G1413" i="5"/>
  <c r="F1413" i="5"/>
  <c r="E1413" i="5"/>
  <c r="D1413" i="5"/>
  <c r="C1413" i="5"/>
  <c r="B1413" i="5"/>
  <c r="I1412" i="5"/>
  <c r="H1412" i="5"/>
  <c r="G1412" i="5"/>
  <c r="F1412" i="5"/>
  <c r="E1412" i="5"/>
  <c r="D1412" i="5"/>
  <c r="C1412" i="5"/>
  <c r="B1412" i="5"/>
  <c r="I1411" i="5"/>
  <c r="H1411" i="5"/>
  <c r="G1411" i="5"/>
  <c r="F1411" i="5"/>
  <c r="E1411" i="5"/>
  <c r="D1411" i="5"/>
  <c r="C1411" i="5"/>
  <c r="B1411" i="5"/>
  <c r="I1410" i="5"/>
  <c r="H1410" i="5"/>
  <c r="G1410" i="5"/>
  <c r="F1410" i="5"/>
  <c r="E1410" i="5"/>
  <c r="D1410" i="5"/>
  <c r="C1410" i="5"/>
  <c r="B1410" i="5"/>
  <c r="I1409" i="5"/>
  <c r="H1409" i="5"/>
  <c r="G1409" i="5"/>
  <c r="F1409" i="5"/>
  <c r="E1409" i="5"/>
  <c r="D1409" i="5"/>
  <c r="C1409" i="5"/>
  <c r="B1409" i="5"/>
  <c r="I1408" i="5"/>
  <c r="H1408" i="5"/>
  <c r="G1408" i="5"/>
  <c r="F1408" i="5"/>
  <c r="E1408" i="5"/>
  <c r="D1408" i="5"/>
  <c r="C1408" i="5"/>
  <c r="B1408" i="5"/>
  <c r="I1407" i="5"/>
  <c r="H1407" i="5"/>
  <c r="G1407" i="5"/>
  <c r="F1407" i="5"/>
  <c r="E1407" i="5"/>
  <c r="D1407" i="5"/>
  <c r="C1407" i="5"/>
  <c r="B1407" i="5"/>
  <c r="I1406" i="5"/>
  <c r="H1406" i="5"/>
  <c r="G1406" i="5"/>
  <c r="F1406" i="5"/>
  <c r="E1406" i="5"/>
  <c r="D1406" i="5"/>
  <c r="C1406" i="5"/>
  <c r="B1406" i="5"/>
  <c r="I1405" i="5"/>
  <c r="H1405" i="5"/>
  <c r="G1405" i="5"/>
  <c r="F1405" i="5"/>
  <c r="E1405" i="5"/>
  <c r="D1405" i="5"/>
  <c r="C1405" i="5"/>
  <c r="B1405" i="5"/>
  <c r="I1404" i="5"/>
  <c r="H1404" i="5"/>
  <c r="G1404" i="5"/>
  <c r="F1404" i="5"/>
  <c r="E1404" i="5"/>
  <c r="D1404" i="5"/>
  <c r="C1404" i="5"/>
  <c r="B1404" i="5"/>
  <c r="I1403" i="5"/>
  <c r="H1403" i="5"/>
  <c r="G1403" i="5"/>
  <c r="F1403" i="5"/>
  <c r="E1403" i="5"/>
  <c r="D1403" i="5"/>
  <c r="C1403" i="5"/>
  <c r="B1403" i="5"/>
  <c r="I1402" i="5"/>
  <c r="H1402" i="5"/>
  <c r="G1402" i="5"/>
  <c r="F1402" i="5"/>
  <c r="E1402" i="5"/>
  <c r="D1402" i="5"/>
  <c r="C1402" i="5"/>
  <c r="B1402" i="5"/>
  <c r="I1401" i="5"/>
  <c r="H1401" i="5"/>
  <c r="G1401" i="5"/>
  <c r="F1401" i="5"/>
  <c r="E1401" i="5"/>
  <c r="D1401" i="5"/>
  <c r="C1401" i="5"/>
  <c r="B1401" i="5"/>
  <c r="I1400" i="5"/>
  <c r="H1400" i="5"/>
  <c r="G1400" i="5"/>
  <c r="F1400" i="5"/>
  <c r="E1400" i="5"/>
  <c r="D1400" i="5"/>
  <c r="C1400" i="5"/>
  <c r="B1400" i="5"/>
  <c r="I1399" i="5"/>
  <c r="H1399" i="5"/>
  <c r="G1399" i="5"/>
  <c r="F1399" i="5"/>
  <c r="E1399" i="5"/>
  <c r="D1399" i="5"/>
  <c r="C1399" i="5"/>
  <c r="B1399" i="5"/>
  <c r="I1398" i="5"/>
  <c r="H1398" i="5"/>
  <c r="G1398" i="5"/>
  <c r="F1398" i="5"/>
  <c r="E1398" i="5"/>
  <c r="D1398" i="5"/>
  <c r="C1398" i="5"/>
  <c r="B1398" i="5"/>
  <c r="I1397" i="5"/>
  <c r="H1397" i="5"/>
  <c r="G1397" i="5"/>
  <c r="F1397" i="5"/>
  <c r="E1397" i="5"/>
  <c r="D1397" i="5"/>
  <c r="C1397" i="5"/>
  <c r="B1397" i="5"/>
  <c r="I1396" i="5"/>
  <c r="H1396" i="5"/>
  <c r="G1396" i="5"/>
  <c r="F1396" i="5"/>
  <c r="E1396" i="5"/>
  <c r="D1396" i="5"/>
  <c r="C1396" i="5"/>
  <c r="B1396" i="5"/>
  <c r="I1395" i="5"/>
  <c r="H1395" i="5"/>
  <c r="G1395" i="5"/>
  <c r="F1395" i="5"/>
  <c r="E1395" i="5"/>
  <c r="D1395" i="5"/>
  <c r="C1395" i="5"/>
  <c r="B1395" i="5"/>
  <c r="I1394" i="5"/>
  <c r="H1394" i="5"/>
  <c r="G1394" i="5"/>
  <c r="F1394" i="5"/>
  <c r="E1394" i="5"/>
  <c r="D1394" i="5"/>
  <c r="C1394" i="5"/>
  <c r="B1394" i="5"/>
  <c r="I1393" i="5"/>
  <c r="H1393" i="5"/>
  <c r="G1393" i="5"/>
  <c r="F1393" i="5"/>
  <c r="E1393" i="5"/>
  <c r="D1393" i="5"/>
  <c r="C1393" i="5"/>
  <c r="B1393" i="5"/>
  <c r="I1392" i="5"/>
  <c r="H1392" i="5"/>
  <c r="G1392" i="5"/>
  <c r="F1392" i="5"/>
  <c r="E1392" i="5"/>
  <c r="D1392" i="5"/>
  <c r="C1392" i="5"/>
  <c r="B1392" i="5"/>
  <c r="I1391" i="5"/>
  <c r="H1391" i="5"/>
  <c r="G1391" i="5"/>
  <c r="F1391" i="5"/>
  <c r="E1391" i="5"/>
  <c r="D1391" i="5"/>
  <c r="C1391" i="5"/>
  <c r="B1391" i="5"/>
  <c r="I1390" i="5"/>
  <c r="H1390" i="5"/>
  <c r="G1390" i="5"/>
  <c r="F1390" i="5"/>
  <c r="E1390" i="5"/>
  <c r="D1390" i="5"/>
  <c r="C1390" i="5"/>
  <c r="B1390" i="5"/>
  <c r="I1389" i="5"/>
  <c r="H1389" i="5"/>
  <c r="G1389" i="5"/>
  <c r="F1389" i="5"/>
  <c r="E1389" i="5"/>
  <c r="D1389" i="5"/>
  <c r="C1389" i="5"/>
  <c r="B1389" i="5"/>
  <c r="I1388" i="5"/>
  <c r="G1388" i="5"/>
  <c r="F1388" i="5"/>
  <c r="E1388" i="5"/>
  <c r="D1388" i="5"/>
  <c r="C1388" i="5"/>
  <c r="B1388" i="5"/>
  <c r="I1387" i="5"/>
  <c r="H1387" i="5"/>
  <c r="G1387" i="5"/>
  <c r="F1387" i="5"/>
  <c r="E1387" i="5"/>
  <c r="D1387" i="5"/>
  <c r="C1387" i="5"/>
  <c r="B1387" i="5"/>
  <c r="I1386" i="5"/>
  <c r="H1386" i="5"/>
  <c r="G1386" i="5"/>
  <c r="F1386" i="5"/>
  <c r="E1386" i="5"/>
  <c r="D1386" i="5"/>
  <c r="C1386" i="5"/>
  <c r="B1386" i="5"/>
  <c r="I1385" i="5"/>
  <c r="H1385" i="5"/>
  <c r="G1385" i="5"/>
  <c r="F1385" i="5"/>
  <c r="E1385" i="5"/>
  <c r="D1385" i="5"/>
  <c r="C1385" i="5"/>
  <c r="B1385" i="5"/>
  <c r="I1384" i="5"/>
  <c r="E1384" i="5"/>
  <c r="D1384" i="5"/>
  <c r="C1384" i="5"/>
  <c r="B1384" i="5"/>
  <c r="I1383" i="5"/>
  <c r="E1383" i="5"/>
  <c r="D1383" i="5"/>
  <c r="C1383" i="5"/>
  <c r="B1383" i="5"/>
  <c r="I1382" i="5"/>
  <c r="E1382" i="5"/>
  <c r="D1382" i="5"/>
  <c r="C1382" i="5"/>
  <c r="B1382" i="5"/>
  <c r="I1381" i="5"/>
  <c r="H1381" i="5"/>
  <c r="G1381" i="5"/>
  <c r="F1381" i="5"/>
  <c r="E1381" i="5"/>
  <c r="D1381" i="5"/>
  <c r="C1381" i="5"/>
  <c r="B1381" i="5"/>
  <c r="I1380" i="5"/>
  <c r="H1380" i="5"/>
  <c r="G1380" i="5"/>
  <c r="F1380" i="5"/>
  <c r="E1380" i="5"/>
  <c r="D1380" i="5"/>
  <c r="C1380" i="5"/>
  <c r="B1380" i="5"/>
  <c r="I1379" i="5"/>
  <c r="H1379" i="5"/>
  <c r="G1379" i="5"/>
  <c r="F1379" i="5"/>
  <c r="E1379" i="5"/>
  <c r="D1379" i="5"/>
  <c r="C1379" i="5"/>
  <c r="B1379" i="5"/>
  <c r="I1378" i="5"/>
  <c r="H1378" i="5"/>
  <c r="G1378" i="5"/>
  <c r="F1378" i="5"/>
  <c r="E1378" i="5"/>
  <c r="D1378" i="5"/>
  <c r="C1378" i="5"/>
  <c r="B1378" i="5"/>
  <c r="I1377" i="5"/>
  <c r="H1377" i="5"/>
  <c r="G1377" i="5"/>
  <c r="F1377" i="5"/>
  <c r="E1377" i="5"/>
  <c r="D1377" i="5"/>
  <c r="C1377" i="5"/>
  <c r="B1377" i="5"/>
  <c r="I1376" i="5"/>
  <c r="H1376" i="5"/>
  <c r="G1376" i="5"/>
  <c r="F1376" i="5"/>
  <c r="E1376" i="5"/>
  <c r="D1376" i="5"/>
  <c r="C1376" i="5"/>
  <c r="B1376" i="5"/>
  <c r="I1375" i="5"/>
  <c r="H1375" i="5"/>
  <c r="G1375" i="5"/>
  <c r="F1375" i="5"/>
  <c r="E1375" i="5"/>
  <c r="D1375" i="5"/>
  <c r="C1375" i="5"/>
  <c r="B1375" i="5"/>
  <c r="I1374" i="5"/>
  <c r="H1374" i="5"/>
  <c r="G1374" i="5"/>
  <c r="F1374" i="5"/>
  <c r="E1374" i="5"/>
  <c r="D1374" i="5"/>
  <c r="C1374" i="5"/>
  <c r="B1374" i="5"/>
  <c r="I1373" i="5"/>
  <c r="H1373" i="5"/>
  <c r="G1373" i="5"/>
  <c r="F1373" i="5"/>
  <c r="E1373" i="5"/>
  <c r="D1373" i="5"/>
  <c r="C1373" i="5"/>
  <c r="B1373" i="5"/>
  <c r="I1372" i="5"/>
  <c r="H1372" i="5"/>
  <c r="G1372" i="5"/>
  <c r="F1372" i="5"/>
  <c r="E1372" i="5"/>
  <c r="D1372" i="5"/>
  <c r="C1372" i="5"/>
  <c r="B1372" i="5"/>
  <c r="I1371" i="5"/>
  <c r="H1371" i="5"/>
  <c r="G1371" i="5"/>
  <c r="F1371" i="5"/>
  <c r="E1371" i="5"/>
  <c r="D1371" i="5"/>
  <c r="C1371" i="5"/>
  <c r="B1371" i="5"/>
  <c r="I1370" i="5"/>
  <c r="H1370" i="5"/>
  <c r="G1370" i="5"/>
  <c r="F1370" i="5"/>
  <c r="E1370" i="5"/>
  <c r="D1370" i="5"/>
  <c r="C1370" i="5"/>
  <c r="B1370" i="5"/>
  <c r="I1369" i="5"/>
  <c r="H1369" i="5"/>
  <c r="G1369" i="5"/>
  <c r="F1369" i="5"/>
  <c r="E1369" i="5"/>
  <c r="D1369" i="5"/>
  <c r="C1369" i="5"/>
  <c r="B1369" i="5"/>
  <c r="I1368" i="5"/>
  <c r="H1368" i="5"/>
  <c r="G1368" i="5"/>
  <c r="F1368" i="5"/>
  <c r="E1368" i="5"/>
  <c r="D1368" i="5"/>
  <c r="C1368" i="5"/>
  <c r="B1368" i="5"/>
  <c r="I1367" i="5"/>
  <c r="H1367" i="5"/>
  <c r="G1367" i="5"/>
  <c r="F1367" i="5"/>
  <c r="E1367" i="5"/>
  <c r="D1367" i="5"/>
  <c r="C1367" i="5"/>
  <c r="B1367" i="5"/>
  <c r="I1366" i="5"/>
  <c r="H1366" i="5"/>
  <c r="G1366" i="5"/>
  <c r="F1366" i="5"/>
  <c r="E1366" i="5"/>
  <c r="D1366" i="5"/>
  <c r="C1366" i="5"/>
  <c r="B1366" i="5"/>
  <c r="I1365" i="5"/>
  <c r="H1365" i="5"/>
  <c r="G1365" i="5"/>
  <c r="F1365" i="5"/>
  <c r="E1365" i="5"/>
  <c r="D1365" i="5"/>
  <c r="C1365" i="5"/>
  <c r="B1365" i="5"/>
  <c r="I1364" i="5"/>
  <c r="H1364" i="5"/>
  <c r="G1364" i="5"/>
  <c r="F1364" i="5"/>
  <c r="E1364" i="5"/>
  <c r="D1364" i="5"/>
  <c r="C1364" i="5"/>
  <c r="B1364" i="5"/>
  <c r="I1363" i="5"/>
  <c r="H1363" i="5"/>
  <c r="G1363" i="5"/>
  <c r="F1363" i="5"/>
  <c r="E1363" i="5"/>
  <c r="D1363" i="5"/>
  <c r="C1363" i="5"/>
  <c r="B1363" i="5"/>
  <c r="I1362" i="5"/>
  <c r="H1362" i="5"/>
  <c r="G1362" i="5"/>
  <c r="F1362" i="5"/>
  <c r="E1362" i="5"/>
  <c r="D1362" i="5"/>
  <c r="C1362" i="5"/>
  <c r="B1362" i="5"/>
  <c r="I1361" i="5"/>
  <c r="H1361" i="5"/>
  <c r="G1361" i="5"/>
  <c r="F1361" i="5"/>
  <c r="E1361" i="5"/>
  <c r="D1361" i="5"/>
  <c r="C1361" i="5"/>
  <c r="B1361" i="5"/>
  <c r="I1360" i="5"/>
  <c r="H1360" i="5"/>
  <c r="G1360" i="5"/>
  <c r="F1360" i="5"/>
  <c r="E1360" i="5"/>
  <c r="D1360" i="5"/>
  <c r="C1360" i="5"/>
  <c r="B1360" i="5"/>
  <c r="I1359" i="5"/>
  <c r="H1359" i="5"/>
  <c r="G1359" i="5"/>
  <c r="F1359" i="5"/>
  <c r="E1359" i="5"/>
  <c r="D1359" i="5"/>
  <c r="C1359" i="5"/>
  <c r="B1359" i="5"/>
  <c r="I1358" i="5"/>
  <c r="H1358" i="5"/>
  <c r="G1358" i="5"/>
  <c r="F1358" i="5"/>
  <c r="E1358" i="5"/>
  <c r="D1358" i="5"/>
  <c r="C1358" i="5"/>
  <c r="B1358" i="5"/>
  <c r="I1357" i="5"/>
  <c r="H1357" i="5"/>
  <c r="G1357" i="5"/>
  <c r="F1357" i="5"/>
  <c r="E1357" i="5"/>
  <c r="D1357" i="5"/>
  <c r="C1357" i="5"/>
  <c r="B1357" i="5"/>
  <c r="I1356" i="5"/>
  <c r="H1356" i="5"/>
  <c r="G1356" i="5"/>
  <c r="F1356" i="5"/>
  <c r="E1356" i="5"/>
  <c r="D1356" i="5"/>
  <c r="C1356" i="5"/>
  <c r="B1356" i="5"/>
  <c r="I1355" i="5"/>
  <c r="H1355" i="5"/>
  <c r="G1355" i="5"/>
  <c r="F1355" i="5"/>
  <c r="E1355" i="5"/>
  <c r="D1355" i="5"/>
  <c r="C1355" i="5"/>
  <c r="B1355" i="5"/>
  <c r="I1354" i="5"/>
  <c r="H1354" i="5"/>
  <c r="G1354" i="5"/>
  <c r="F1354" i="5"/>
  <c r="E1354" i="5"/>
  <c r="D1354" i="5"/>
  <c r="C1354" i="5"/>
  <c r="B1354" i="5"/>
  <c r="I1353" i="5"/>
  <c r="H1353" i="5"/>
  <c r="G1353" i="5"/>
  <c r="F1353" i="5"/>
  <c r="E1353" i="5"/>
  <c r="D1353" i="5"/>
  <c r="C1353" i="5"/>
  <c r="B1353" i="5"/>
  <c r="I1352" i="5"/>
  <c r="H1352" i="5"/>
  <c r="G1352" i="5"/>
  <c r="F1352" i="5"/>
  <c r="E1352" i="5"/>
  <c r="D1352" i="5"/>
  <c r="C1352" i="5"/>
  <c r="B1352" i="5"/>
  <c r="I1351" i="5"/>
  <c r="H1351" i="5"/>
  <c r="G1351" i="5"/>
  <c r="F1351" i="5"/>
  <c r="E1351" i="5"/>
  <c r="D1351" i="5"/>
  <c r="C1351" i="5"/>
  <c r="B1351" i="5"/>
  <c r="I1350" i="5"/>
  <c r="H1350" i="5"/>
  <c r="G1350" i="5"/>
  <c r="F1350" i="5"/>
  <c r="E1350" i="5"/>
  <c r="D1350" i="5"/>
  <c r="C1350" i="5"/>
  <c r="B1350" i="5"/>
  <c r="I1349" i="5"/>
  <c r="H1349" i="5"/>
  <c r="G1349" i="5"/>
  <c r="F1349" i="5"/>
  <c r="E1349" i="5"/>
  <c r="D1349" i="5"/>
  <c r="C1349" i="5"/>
  <c r="B1349" i="5"/>
  <c r="I1348" i="5"/>
  <c r="H1348" i="5"/>
  <c r="G1348" i="5"/>
  <c r="F1348" i="5"/>
  <c r="E1348" i="5"/>
  <c r="D1348" i="5"/>
  <c r="C1348" i="5"/>
  <c r="B1348" i="5"/>
  <c r="I1347" i="5"/>
  <c r="H1347" i="5"/>
  <c r="G1347" i="5"/>
  <c r="F1347" i="5"/>
  <c r="E1347" i="5"/>
  <c r="D1347" i="5"/>
  <c r="C1347" i="5"/>
  <c r="B1347" i="5"/>
  <c r="I1346" i="5"/>
  <c r="H1346" i="5"/>
  <c r="G1346" i="5"/>
  <c r="F1346" i="5"/>
  <c r="E1346" i="5"/>
  <c r="D1346" i="5"/>
  <c r="C1346" i="5"/>
  <c r="B1346" i="5"/>
  <c r="I1345" i="5"/>
  <c r="H1345" i="5"/>
  <c r="G1345" i="5"/>
  <c r="F1345" i="5"/>
  <c r="E1345" i="5"/>
  <c r="D1345" i="5"/>
  <c r="C1345" i="5"/>
  <c r="B1345" i="5"/>
  <c r="I1344" i="5"/>
  <c r="H1344" i="5"/>
  <c r="G1344" i="5"/>
  <c r="F1344" i="5"/>
  <c r="E1344" i="5"/>
  <c r="D1344" i="5"/>
  <c r="C1344" i="5"/>
  <c r="B1344" i="5"/>
  <c r="I1343" i="5"/>
  <c r="H1343" i="5"/>
  <c r="G1343" i="5"/>
  <c r="F1343" i="5"/>
  <c r="E1343" i="5"/>
  <c r="D1343" i="5"/>
  <c r="C1343" i="5"/>
  <c r="B1343" i="5"/>
  <c r="I1342" i="5"/>
  <c r="H1342" i="5"/>
  <c r="G1342" i="5"/>
  <c r="F1342" i="5"/>
  <c r="E1342" i="5"/>
  <c r="D1342" i="5"/>
  <c r="C1342" i="5"/>
  <c r="B1342" i="5"/>
  <c r="I1341" i="5"/>
  <c r="H1341" i="5"/>
  <c r="G1341" i="5"/>
  <c r="F1341" i="5"/>
  <c r="E1341" i="5"/>
  <c r="D1341" i="5"/>
  <c r="C1341" i="5"/>
  <c r="B1341" i="5"/>
  <c r="I1340" i="5"/>
  <c r="H1340" i="5"/>
  <c r="G1340" i="5"/>
  <c r="F1340" i="5"/>
  <c r="E1340" i="5"/>
  <c r="D1340" i="5"/>
  <c r="C1340" i="5"/>
  <c r="B1340" i="5"/>
  <c r="I1339" i="5"/>
  <c r="H1339" i="5"/>
  <c r="G1339" i="5"/>
  <c r="F1339" i="5"/>
  <c r="E1339" i="5"/>
  <c r="D1339" i="5"/>
  <c r="C1339" i="5"/>
  <c r="B1339" i="5"/>
  <c r="I1338" i="5"/>
  <c r="H1338" i="5"/>
  <c r="G1338" i="5"/>
  <c r="F1338" i="5"/>
  <c r="E1338" i="5"/>
  <c r="D1338" i="5"/>
  <c r="C1338" i="5"/>
  <c r="B1338" i="5"/>
  <c r="I1337" i="5"/>
  <c r="H1337" i="5"/>
  <c r="G1337" i="5"/>
  <c r="F1337" i="5"/>
  <c r="E1337" i="5"/>
  <c r="D1337" i="5"/>
  <c r="C1337" i="5"/>
  <c r="B1337" i="5"/>
  <c r="I1336" i="5"/>
  <c r="H1336" i="5"/>
  <c r="G1336" i="5"/>
  <c r="F1336" i="5"/>
  <c r="E1336" i="5"/>
  <c r="D1336" i="5"/>
  <c r="C1336" i="5"/>
  <c r="B1336" i="5"/>
  <c r="I1335" i="5"/>
  <c r="H1335" i="5"/>
  <c r="G1335" i="5"/>
  <c r="F1335" i="5"/>
  <c r="E1335" i="5"/>
  <c r="D1335" i="5"/>
  <c r="C1335" i="5"/>
  <c r="B1335" i="5"/>
  <c r="I1334" i="5"/>
  <c r="H1334" i="5"/>
  <c r="G1334" i="5"/>
  <c r="F1334" i="5"/>
  <c r="E1334" i="5"/>
  <c r="D1334" i="5"/>
  <c r="C1334" i="5"/>
  <c r="B1334" i="5"/>
  <c r="I1333" i="5"/>
  <c r="H1333" i="5"/>
  <c r="G1333" i="5"/>
  <c r="F1333" i="5"/>
  <c r="E1333" i="5"/>
  <c r="D1333" i="5"/>
  <c r="C1333" i="5"/>
  <c r="B1333" i="5"/>
  <c r="I1332" i="5"/>
  <c r="H1332" i="5"/>
  <c r="G1332" i="5"/>
  <c r="F1332" i="5"/>
  <c r="E1332" i="5"/>
  <c r="D1332" i="5"/>
  <c r="C1332" i="5"/>
  <c r="B1332" i="5"/>
  <c r="I1331" i="5"/>
  <c r="H1331" i="5"/>
  <c r="G1331" i="5"/>
  <c r="F1331" i="5"/>
  <c r="E1331" i="5"/>
  <c r="D1331" i="5"/>
  <c r="C1331" i="5"/>
  <c r="B1331" i="5"/>
  <c r="I1330" i="5"/>
  <c r="H1330" i="5"/>
  <c r="G1330" i="5"/>
  <c r="F1330" i="5"/>
  <c r="E1330" i="5"/>
  <c r="D1330" i="5"/>
  <c r="C1330" i="5"/>
  <c r="B1330" i="5"/>
  <c r="I1329" i="5"/>
  <c r="H1329" i="5"/>
  <c r="G1329" i="5"/>
  <c r="F1329" i="5"/>
  <c r="E1329" i="5"/>
  <c r="D1329" i="5"/>
  <c r="C1329" i="5"/>
  <c r="B1329" i="5"/>
  <c r="I1328" i="5"/>
  <c r="H1328" i="5"/>
  <c r="G1328" i="5"/>
  <c r="F1328" i="5"/>
  <c r="E1328" i="5"/>
  <c r="D1328" i="5"/>
  <c r="C1328" i="5"/>
  <c r="B1328" i="5"/>
  <c r="I1327" i="5"/>
  <c r="H1327" i="5"/>
  <c r="G1327" i="5"/>
  <c r="F1327" i="5"/>
  <c r="E1327" i="5"/>
  <c r="D1327" i="5"/>
  <c r="C1327" i="5"/>
  <c r="B1327" i="5"/>
  <c r="I1326" i="5"/>
  <c r="H1326" i="5"/>
  <c r="G1326" i="5"/>
  <c r="F1326" i="5"/>
  <c r="E1326" i="5"/>
  <c r="D1326" i="5"/>
  <c r="C1326" i="5"/>
  <c r="B1326" i="5"/>
  <c r="I1325" i="5"/>
  <c r="H1325" i="5"/>
  <c r="G1325" i="5"/>
  <c r="F1325" i="5"/>
  <c r="E1325" i="5"/>
  <c r="D1325" i="5"/>
  <c r="C1325" i="5"/>
  <c r="B1325" i="5"/>
  <c r="I1324" i="5"/>
  <c r="H1324" i="5"/>
  <c r="G1324" i="5"/>
  <c r="F1324" i="5"/>
  <c r="E1324" i="5"/>
  <c r="D1324" i="5"/>
  <c r="C1324" i="5"/>
  <c r="B1324" i="5"/>
  <c r="I1323" i="5"/>
  <c r="H1323" i="5"/>
  <c r="G1323" i="5"/>
  <c r="F1323" i="5"/>
  <c r="E1323" i="5"/>
  <c r="D1323" i="5"/>
  <c r="C1323" i="5"/>
  <c r="B1323" i="5"/>
  <c r="I1322" i="5"/>
  <c r="H1322" i="5"/>
  <c r="G1322" i="5"/>
  <c r="F1322" i="5"/>
  <c r="E1322" i="5"/>
  <c r="D1322" i="5"/>
  <c r="C1322" i="5"/>
  <c r="B1322" i="5"/>
  <c r="I1321" i="5"/>
  <c r="H1321" i="5"/>
  <c r="G1321" i="5"/>
  <c r="F1321" i="5"/>
  <c r="E1321" i="5"/>
  <c r="D1321" i="5"/>
  <c r="C1321" i="5"/>
  <c r="B1321" i="5"/>
  <c r="I1320" i="5"/>
  <c r="H1320" i="5"/>
  <c r="G1320" i="5"/>
  <c r="F1320" i="5"/>
  <c r="E1320" i="5"/>
  <c r="D1320" i="5"/>
  <c r="C1320" i="5"/>
  <c r="B1320" i="5"/>
  <c r="I1319" i="5"/>
  <c r="H1319" i="5"/>
  <c r="G1319" i="5"/>
  <c r="F1319" i="5"/>
  <c r="E1319" i="5"/>
  <c r="D1319" i="5"/>
  <c r="C1319" i="5"/>
  <c r="B1319" i="5"/>
  <c r="I1318" i="5"/>
  <c r="H1318" i="5"/>
  <c r="G1318" i="5"/>
  <c r="F1318" i="5"/>
  <c r="E1318" i="5"/>
  <c r="D1318" i="5"/>
  <c r="C1318" i="5"/>
  <c r="B1318" i="5"/>
  <c r="I1317" i="5"/>
  <c r="H1317" i="5"/>
  <c r="G1317" i="5"/>
  <c r="F1317" i="5"/>
  <c r="E1317" i="5"/>
  <c r="D1317" i="5"/>
  <c r="C1317" i="5"/>
  <c r="B1317" i="5"/>
  <c r="I1316" i="5"/>
  <c r="H1316" i="5"/>
  <c r="G1316" i="5"/>
  <c r="F1316" i="5"/>
  <c r="E1316" i="5"/>
  <c r="D1316" i="5"/>
  <c r="C1316" i="5"/>
  <c r="B1316" i="5"/>
  <c r="I1315" i="5"/>
  <c r="H1315" i="5"/>
  <c r="G1315" i="5"/>
  <c r="F1315" i="5"/>
  <c r="E1315" i="5"/>
  <c r="D1315" i="5"/>
  <c r="C1315" i="5"/>
  <c r="B1315" i="5"/>
  <c r="I1314" i="5"/>
  <c r="H1314" i="5"/>
  <c r="G1314" i="5"/>
  <c r="F1314" i="5"/>
  <c r="E1314" i="5"/>
  <c r="D1314" i="5"/>
  <c r="C1314" i="5"/>
  <c r="B1314" i="5"/>
  <c r="I1313" i="5"/>
  <c r="H1313" i="5"/>
  <c r="G1313" i="5"/>
  <c r="F1313" i="5"/>
  <c r="E1313" i="5"/>
  <c r="D1313" i="5"/>
  <c r="C1313" i="5"/>
  <c r="B1313" i="5"/>
  <c r="I1312" i="5"/>
  <c r="H1312" i="5"/>
  <c r="G1312" i="5"/>
  <c r="F1312" i="5"/>
  <c r="E1312" i="5"/>
  <c r="D1312" i="5"/>
  <c r="C1312" i="5"/>
  <c r="B1312" i="5"/>
  <c r="I1311" i="5"/>
  <c r="H1311" i="5"/>
  <c r="G1311" i="5"/>
  <c r="F1311" i="5"/>
  <c r="E1311" i="5"/>
  <c r="D1311" i="5"/>
  <c r="C1311" i="5"/>
  <c r="B1311" i="5"/>
  <c r="I1310" i="5"/>
  <c r="H1310" i="5"/>
  <c r="G1310" i="5"/>
  <c r="F1310" i="5"/>
  <c r="E1310" i="5"/>
  <c r="D1310" i="5"/>
  <c r="C1310" i="5"/>
  <c r="B1310" i="5"/>
  <c r="I1309" i="5"/>
  <c r="H1309" i="5"/>
  <c r="G1309" i="5"/>
  <c r="F1309" i="5"/>
  <c r="E1309" i="5"/>
  <c r="D1309" i="5"/>
  <c r="C1309" i="5"/>
  <c r="B1309" i="5"/>
  <c r="I1308" i="5"/>
  <c r="H1308" i="5"/>
  <c r="G1308" i="5"/>
  <c r="F1308" i="5"/>
  <c r="E1308" i="5"/>
  <c r="D1308" i="5"/>
  <c r="C1308" i="5"/>
  <c r="B1308" i="5"/>
  <c r="I1307" i="5"/>
  <c r="H1307" i="5"/>
  <c r="G1307" i="5"/>
  <c r="F1307" i="5"/>
  <c r="E1307" i="5"/>
  <c r="D1307" i="5"/>
  <c r="C1307" i="5"/>
  <c r="B1307" i="5"/>
  <c r="I1306" i="5"/>
  <c r="H1306" i="5"/>
  <c r="G1306" i="5"/>
  <c r="F1306" i="5"/>
  <c r="E1306" i="5"/>
  <c r="D1306" i="5"/>
  <c r="C1306" i="5"/>
  <c r="B1306" i="5"/>
  <c r="I1305" i="5"/>
  <c r="H1305" i="5"/>
  <c r="G1305" i="5"/>
  <c r="F1305" i="5"/>
  <c r="E1305" i="5"/>
  <c r="D1305" i="5"/>
  <c r="C1305" i="5"/>
  <c r="B1305" i="5"/>
  <c r="I1304" i="5"/>
  <c r="H1304" i="5"/>
  <c r="G1304" i="5"/>
  <c r="F1304" i="5"/>
  <c r="E1304" i="5"/>
  <c r="D1304" i="5"/>
  <c r="C1304" i="5"/>
  <c r="B1304" i="5"/>
  <c r="I1303" i="5"/>
  <c r="H1303" i="5"/>
  <c r="G1303" i="5"/>
  <c r="F1303" i="5"/>
  <c r="E1303" i="5"/>
  <c r="D1303" i="5"/>
  <c r="C1303" i="5"/>
  <c r="B1303" i="5"/>
  <c r="I1302" i="5"/>
  <c r="H1302" i="5"/>
  <c r="G1302" i="5"/>
  <c r="F1302" i="5"/>
  <c r="E1302" i="5"/>
  <c r="D1302" i="5"/>
  <c r="C1302" i="5"/>
  <c r="B1302" i="5"/>
  <c r="I1301" i="5"/>
  <c r="H1301" i="5"/>
  <c r="G1301" i="5"/>
  <c r="F1301" i="5"/>
  <c r="E1301" i="5"/>
  <c r="D1301" i="5"/>
  <c r="C1301" i="5"/>
  <c r="B1301" i="5"/>
  <c r="I1300" i="5"/>
  <c r="H1300" i="5"/>
  <c r="G1300" i="5"/>
  <c r="F1300" i="5"/>
  <c r="E1300" i="5"/>
  <c r="D1300" i="5"/>
  <c r="C1300" i="5"/>
  <c r="B1300" i="5"/>
  <c r="I1299" i="5"/>
  <c r="H1299" i="5"/>
  <c r="G1299" i="5"/>
  <c r="F1299" i="5"/>
  <c r="E1299" i="5"/>
  <c r="D1299" i="5"/>
  <c r="C1299" i="5"/>
  <c r="B1299" i="5"/>
  <c r="I1298" i="5"/>
  <c r="H1298" i="5"/>
  <c r="G1298" i="5"/>
  <c r="F1298" i="5"/>
  <c r="E1298" i="5"/>
  <c r="D1298" i="5"/>
  <c r="C1298" i="5"/>
  <c r="B1298" i="5"/>
  <c r="I1297" i="5"/>
  <c r="H1297" i="5"/>
  <c r="G1297" i="5"/>
  <c r="F1297" i="5"/>
  <c r="E1297" i="5"/>
  <c r="D1297" i="5"/>
  <c r="C1297" i="5"/>
  <c r="B1297" i="5"/>
  <c r="I1296" i="5"/>
  <c r="H1296" i="5"/>
  <c r="G1296" i="5"/>
  <c r="F1296" i="5"/>
  <c r="E1296" i="5"/>
  <c r="D1296" i="5"/>
  <c r="C1296" i="5"/>
  <c r="B1296" i="5"/>
  <c r="I1295" i="5"/>
  <c r="H1295" i="5"/>
  <c r="G1295" i="5"/>
  <c r="F1295" i="5"/>
  <c r="E1295" i="5"/>
  <c r="D1295" i="5"/>
  <c r="C1295" i="5"/>
  <c r="B1295" i="5"/>
  <c r="I1294" i="5"/>
  <c r="H1294" i="5"/>
  <c r="G1294" i="5"/>
  <c r="F1294" i="5"/>
  <c r="E1294" i="5"/>
  <c r="D1294" i="5"/>
  <c r="C1294" i="5"/>
  <c r="B1294" i="5"/>
  <c r="I1293" i="5"/>
  <c r="H1293" i="5"/>
  <c r="G1293" i="5"/>
  <c r="F1293" i="5"/>
  <c r="E1293" i="5"/>
  <c r="D1293" i="5"/>
  <c r="C1293" i="5"/>
  <c r="B1293" i="5"/>
  <c r="I1292" i="5"/>
  <c r="H1292" i="5"/>
  <c r="G1292" i="5"/>
  <c r="F1292" i="5"/>
  <c r="E1292" i="5"/>
  <c r="D1292" i="5"/>
  <c r="C1292" i="5"/>
  <c r="B1292" i="5"/>
  <c r="I1291" i="5"/>
  <c r="H1291" i="5"/>
  <c r="G1291" i="5"/>
  <c r="F1291" i="5"/>
  <c r="E1291" i="5"/>
  <c r="D1291" i="5"/>
  <c r="C1291" i="5"/>
  <c r="B1291" i="5"/>
  <c r="I1290" i="5"/>
  <c r="H1290" i="5"/>
  <c r="G1290" i="5"/>
  <c r="F1290" i="5"/>
  <c r="E1290" i="5"/>
  <c r="D1290" i="5"/>
  <c r="C1290" i="5"/>
  <c r="B1290" i="5"/>
  <c r="I1289" i="5"/>
  <c r="H1289" i="5"/>
  <c r="G1289" i="5"/>
  <c r="F1289" i="5"/>
  <c r="E1289" i="5"/>
  <c r="D1289" i="5"/>
  <c r="C1289" i="5"/>
  <c r="B1289" i="5"/>
  <c r="I1288" i="5"/>
  <c r="H1288" i="5"/>
  <c r="G1288" i="5"/>
  <c r="F1288" i="5"/>
  <c r="E1288" i="5"/>
  <c r="D1288" i="5"/>
  <c r="C1288" i="5"/>
  <c r="B1288" i="5"/>
  <c r="I1287" i="5"/>
  <c r="H1287" i="5"/>
  <c r="G1287" i="5"/>
  <c r="F1287" i="5"/>
  <c r="E1287" i="5"/>
  <c r="D1287" i="5"/>
  <c r="C1287" i="5"/>
  <c r="B1287" i="5"/>
  <c r="I1286" i="5"/>
  <c r="H1286" i="5"/>
  <c r="G1286" i="5"/>
  <c r="F1286" i="5"/>
  <c r="E1286" i="5"/>
  <c r="D1286" i="5"/>
  <c r="C1286" i="5"/>
  <c r="B1286" i="5"/>
  <c r="I1285" i="5"/>
  <c r="G1285" i="5"/>
  <c r="F1285" i="5"/>
  <c r="E1285" i="5"/>
  <c r="D1285" i="5"/>
  <c r="C1285" i="5"/>
  <c r="B1285" i="5"/>
  <c r="I1284" i="5"/>
  <c r="H1284" i="5"/>
  <c r="G1284" i="5"/>
  <c r="F1284" i="5"/>
  <c r="E1284" i="5"/>
  <c r="D1284" i="5"/>
  <c r="C1284" i="5"/>
  <c r="B1284" i="5"/>
  <c r="I1283" i="5"/>
  <c r="H1283" i="5"/>
  <c r="G1283" i="5"/>
  <c r="F1283" i="5"/>
  <c r="E1283" i="5"/>
  <c r="D1283" i="5"/>
  <c r="C1283" i="5"/>
  <c r="B1283" i="5"/>
  <c r="I1282" i="5"/>
  <c r="H1282" i="5"/>
  <c r="G1282" i="5"/>
  <c r="F1282" i="5"/>
  <c r="E1282" i="5"/>
  <c r="D1282" i="5"/>
  <c r="C1282" i="5"/>
  <c r="B1282" i="5"/>
  <c r="I1281" i="5"/>
  <c r="H1281" i="5"/>
  <c r="G1281" i="5"/>
  <c r="F1281" i="5"/>
  <c r="E1281" i="5"/>
  <c r="D1281" i="5"/>
  <c r="C1281" i="5"/>
  <c r="B1281" i="5"/>
  <c r="I1280" i="5"/>
  <c r="H1280" i="5"/>
  <c r="G1280" i="5"/>
  <c r="F1280" i="5"/>
  <c r="E1280" i="5"/>
  <c r="D1280" i="5"/>
  <c r="C1280" i="5"/>
  <c r="B1280" i="5"/>
  <c r="I1279" i="5"/>
  <c r="H1279" i="5"/>
  <c r="G1279" i="5"/>
  <c r="F1279" i="5"/>
  <c r="E1279" i="5"/>
  <c r="D1279" i="5"/>
  <c r="C1279" i="5"/>
  <c r="B1279" i="5"/>
  <c r="I1278" i="5"/>
  <c r="H1278" i="5"/>
  <c r="G1278" i="5"/>
  <c r="F1278" i="5"/>
  <c r="E1278" i="5"/>
  <c r="D1278" i="5"/>
  <c r="C1278" i="5"/>
  <c r="B1278" i="5"/>
  <c r="I1277" i="5"/>
  <c r="G1277" i="5"/>
  <c r="F1277" i="5"/>
  <c r="E1277" i="5"/>
  <c r="D1277" i="5"/>
  <c r="C1277" i="5"/>
  <c r="B1277" i="5"/>
  <c r="I1276" i="5"/>
  <c r="H1276" i="5"/>
  <c r="G1276" i="5"/>
  <c r="F1276" i="5"/>
  <c r="E1276" i="5"/>
  <c r="D1276" i="5"/>
  <c r="C1276" i="5"/>
  <c r="B1276" i="5"/>
  <c r="I1275" i="5"/>
  <c r="H1275" i="5"/>
  <c r="G1275" i="5"/>
  <c r="F1275" i="5"/>
  <c r="E1275" i="5"/>
  <c r="D1275" i="5"/>
  <c r="C1275" i="5"/>
  <c r="B1275" i="5"/>
  <c r="I1274" i="5"/>
  <c r="H1274" i="5"/>
  <c r="G1274" i="5"/>
  <c r="F1274" i="5"/>
  <c r="E1274" i="5"/>
  <c r="D1274" i="5"/>
  <c r="C1274" i="5"/>
  <c r="B1274" i="5"/>
  <c r="I1273" i="5"/>
  <c r="H1273" i="5"/>
  <c r="G1273" i="5"/>
  <c r="F1273" i="5"/>
  <c r="E1273" i="5"/>
  <c r="D1273" i="5"/>
  <c r="C1273" i="5"/>
  <c r="B1273" i="5"/>
  <c r="I1272" i="5"/>
  <c r="H1272" i="5"/>
  <c r="G1272" i="5"/>
  <c r="F1272" i="5"/>
  <c r="E1272" i="5"/>
  <c r="D1272" i="5"/>
  <c r="C1272" i="5"/>
  <c r="B1272" i="5"/>
  <c r="I1271" i="5"/>
  <c r="H1271" i="5"/>
  <c r="G1271" i="5"/>
  <c r="F1271" i="5"/>
  <c r="E1271" i="5"/>
  <c r="D1271" i="5"/>
  <c r="C1271" i="5"/>
  <c r="B1271" i="5"/>
  <c r="I1270" i="5"/>
  <c r="H1270" i="5"/>
  <c r="G1270" i="5"/>
  <c r="F1270" i="5"/>
  <c r="E1270" i="5"/>
  <c r="D1270" i="5"/>
  <c r="C1270" i="5"/>
  <c r="B1270" i="5"/>
  <c r="I1269" i="5"/>
  <c r="H1269" i="5"/>
  <c r="G1269" i="5"/>
  <c r="F1269" i="5"/>
  <c r="E1269" i="5"/>
  <c r="D1269" i="5"/>
  <c r="C1269" i="5"/>
  <c r="B1269" i="5"/>
  <c r="I1268" i="5"/>
  <c r="H1268" i="5"/>
  <c r="G1268" i="5"/>
  <c r="F1268" i="5"/>
  <c r="E1268" i="5"/>
  <c r="D1268" i="5"/>
  <c r="C1268" i="5"/>
  <c r="B1268" i="5"/>
  <c r="I1267" i="5"/>
  <c r="H1267" i="5"/>
  <c r="G1267" i="5"/>
  <c r="F1267" i="5"/>
  <c r="E1267" i="5"/>
  <c r="D1267" i="5"/>
  <c r="C1267" i="5"/>
  <c r="B1267" i="5"/>
  <c r="I1266" i="5"/>
  <c r="H1266" i="5"/>
  <c r="G1266" i="5"/>
  <c r="F1266" i="5"/>
  <c r="E1266" i="5"/>
  <c r="D1266" i="5"/>
  <c r="C1266" i="5"/>
  <c r="B1266" i="5"/>
  <c r="I1265" i="5"/>
  <c r="H1265" i="5"/>
  <c r="G1265" i="5"/>
  <c r="F1265" i="5"/>
  <c r="E1265" i="5"/>
  <c r="D1265" i="5"/>
  <c r="C1265" i="5"/>
  <c r="B1265" i="5"/>
  <c r="I1264" i="5"/>
  <c r="H1264" i="5"/>
  <c r="G1264" i="5"/>
  <c r="F1264" i="5"/>
  <c r="E1264" i="5"/>
  <c r="D1264" i="5"/>
  <c r="C1264" i="5"/>
  <c r="B1264" i="5"/>
  <c r="I1263" i="5"/>
  <c r="H1263" i="5"/>
  <c r="G1263" i="5"/>
  <c r="F1263" i="5"/>
  <c r="E1263" i="5"/>
  <c r="D1263" i="5"/>
  <c r="C1263" i="5"/>
  <c r="B1263" i="5"/>
  <c r="I1262" i="5"/>
  <c r="H1262" i="5"/>
  <c r="G1262" i="5"/>
  <c r="F1262" i="5"/>
  <c r="E1262" i="5"/>
  <c r="D1262" i="5"/>
  <c r="C1262" i="5"/>
  <c r="B1262" i="5"/>
  <c r="I1261" i="5"/>
  <c r="H1261" i="5"/>
  <c r="G1261" i="5"/>
  <c r="F1261" i="5"/>
  <c r="E1261" i="5"/>
  <c r="D1261" i="5"/>
  <c r="C1261" i="5"/>
  <c r="B1261" i="5"/>
  <c r="I1260" i="5"/>
  <c r="H1260" i="5"/>
  <c r="G1260" i="5"/>
  <c r="F1260" i="5"/>
  <c r="E1260" i="5"/>
  <c r="D1260" i="5"/>
  <c r="C1260" i="5"/>
  <c r="B1260" i="5"/>
  <c r="I1259" i="5"/>
  <c r="H1259" i="5"/>
  <c r="G1259" i="5"/>
  <c r="F1259" i="5"/>
  <c r="E1259" i="5"/>
  <c r="D1259" i="5"/>
  <c r="C1259" i="5"/>
  <c r="B1259" i="5"/>
  <c r="I1258" i="5"/>
  <c r="H1258" i="5"/>
  <c r="G1258" i="5"/>
  <c r="F1258" i="5"/>
  <c r="E1258" i="5"/>
  <c r="D1258" i="5"/>
  <c r="C1258" i="5"/>
  <c r="B1258" i="5"/>
  <c r="I1257" i="5"/>
  <c r="H1257" i="5"/>
  <c r="G1257" i="5"/>
  <c r="F1257" i="5"/>
  <c r="E1257" i="5"/>
  <c r="D1257" i="5"/>
  <c r="C1257" i="5"/>
  <c r="B1257" i="5"/>
  <c r="I1256" i="5"/>
  <c r="H1256" i="5"/>
  <c r="G1256" i="5"/>
  <c r="F1256" i="5"/>
  <c r="E1256" i="5"/>
  <c r="D1256" i="5"/>
  <c r="C1256" i="5"/>
  <c r="B1256" i="5"/>
  <c r="I1255" i="5"/>
  <c r="H1255" i="5"/>
  <c r="G1255" i="5"/>
  <c r="F1255" i="5"/>
  <c r="E1255" i="5"/>
  <c r="D1255" i="5"/>
  <c r="C1255" i="5"/>
  <c r="B1255" i="5"/>
  <c r="I1254" i="5"/>
  <c r="H1254" i="5"/>
  <c r="G1254" i="5"/>
  <c r="F1254" i="5"/>
  <c r="E1254" i="5"/>
  <c r="D1254" i="5"/>
  <c r="C1254" i="5"/>
  <c r="B1254" i="5"/>
  <c r="I1253" i="5"/>
  <c r="H1253" i="5"/>
  <c r="G1253" i="5"/>
  <c r="F1253" i="5"/>
  <c r="E1253" i="5"/>
  <c r="D1253" i="5"/>
  <c r="C1253" i="5"/>
  <c r="B1253" i="5"/>
  <c r="I1252" i="5"/>
  <c r="H1252" i="5"/>
  <c r="G1252" i="5"/>
  <c r="F1252" i="5"/>
  <c r="E1252" i="5"/>
  <c r="D1252" i="5"/>
  <c r="C1252" i="5"/>
  <c r="B1252" i="5"/>
  <c r="I1251" i="5"/>
  <c r="H1251" i="5"/>
  <c r="G1251" i="5"/>
  <c r="F1251" i="5"/>
  <c r="E1251" i="5"/>
  <c r="D1251" i="5"/>
  <c r="C1251" i="5"/>
  <c r="B1251" i="5"/>
  <c r="I1250" i="5"/>
  <c r="H1250" i="5"/>
  <c r="G1250" i="5"/>
  <c r="F1250" i="5"/>
  <c r="E1250" i="5"/>
  <c r="D1250" i="5"/>
  <c r="C1250" i="5"/>
  <c r="B1250" i="5"/>
  <c r="I1249" i="5"/>
  <c r="H1249" i="5"/>
  <c r="G1249" i="5"/>
  <c r="F1249" i="5"/>
  <c r="E1249" i="5"/>
  <c r="D1249" i="5"/>
  <c r="C1249" i="5"/>
  <c r="B1249" i="5"/>
  <c r="I1248" i="5"/>
  <c r="H1248" i="5"/>
  <c r="G1248" i="5"/>
  <c r="F1248" i="5"/>
  <c r="E1248" i="5"/>
  <c r="D1248" i="5"/>
  <c r="C1248" i="5"/>
  <c r="B1248" i="5"/>
  <c r="I1247" i="5"/>
  <c r="H1247" i="5"/>
  <c r="G1247" i="5"/>
  <c r="F1247" i="5"/>
  <c r="E1247" i="5"/>
  <c r="D1247" i="5"/>
  <c r="C1247" i="5"/>
  <c r="B1247" i="5"/>
  <c r="I1246" i="5"/>
  <c r="H1246" i="5"/>
  <c r="G1246" i="5"/>
  <c r="F1246" i="5"/>
  <c r="E1246" i="5"/>
  <c r="D1246" i="5"/>
  <c r="C1246" i="5"/>
  <c r="B1246" i="5"/>
  <c r="I1245" i="5"/>
  <c r="H1245" i="5"/>
  <c r="G1245" i="5"/>
  <c r="F1245" i="5"/>
  <c r="E1245" i="5"/>
  <c r="D1245" i="5"/>
  <c r="C1245" i="5"/>
  <c r="B1245" i="5"/>
  <c r="I1244" i="5"/>
  <c r="H1244" i="5"/>
  <c r="G1244" i="5"/>
  <c r="F1244" i="5"/>
  <c r="E1244" i="5"/>
  <c r="D1244" i="5"/>
  <c r="C1244" i="5"/>
  <c r="B1244" i="5"/>
  <c r="I1243" i="5"/>
  <c r="H1243" i="5"/>
  <c r="G1243" i="5"/>
  <c r="F1243" i="5"/>
  <c r="E1243" i="5"/>
  <c r="D1243" i="5"/>
  <c r="C1243" i="5"/>
  <c r="B1243" i="5"/>
  <c r="I1242" i="5"/>
  <c r="H1242" i="5"/>
  <c r="G1242" i="5"/>
  <c r="F1242" i="5"/>
  <c r="E1242" i="5"/>
  <c r="D1242" i="5"/>
  <c r="C1242" i="5"/>
  <c r="B1242" i="5"/>
  <c r="I1241" i="5"/>
  <c r="H1241" i="5"/>
  <c r="G1241" i="5"/>
  <c r="F1241" i="5"/>
  <c r="E1241" i="5"/>
  <c r="D1241" i="5"/>
  <c r="C1241" i="5"/>
  <c r="B1241" i="5"/>
  <c r="I1240" i="5"/>
  <c r="H1240" i="5"/>
  <c r="G1240" i="5"/>
  <c r="F1240" i="5"/>
  <c r="E1240" i="5"/>
  <c r="D1240" i="5"/>
  <c r="C1240" i="5"/>
  <c r="B1240" i="5"/>
  <c r="I1239" i="5"/>
  <c r="H1239" i="5"/>
  <c r="G1239" i="5"/>
  <c r="F1239" i="5"/>
  <c r="E1239" i="5"/>
  <c r="D1239" i="5"/>
  <c r="C1239" i="5"/>
  <c r="B1239" i="5"/>
  <c r="I1238" i="5"/>
  <c r="H1238" i="5"/>
  <c r="G1238" i="5"/>
  <c r="F1238" i="5"/>
  <c r="E1238" i="5"/>
  <c r="D1238" i="5"/>
  <c r="C1238" i="5"/>
  <c r="B1238" i="5"/>
  <c r="I1237" i="5"/>
  <c r="H1237" i="5"/>
  <c r="G1237" i="5"/>
  <c r="F1237" i="5"/>
  <c r="E1237" i="5"/>
  <c r="D1237" i="5"/>
  <c r="C1237" i="5"/>
  <c r="B1237" i="5"/>
  <c r="I1236" i="5"/>
  <c r="H1236" i="5"/>
  <c r="G1236" i="5"/>
  <c r="F1236" i="5"/>
  <c r="E1236" i="5"/>
  <c r="D1236" i="5"/>
  <c r="C1236" i="5"/>
  <c r="B1236" i="5"/>
  <c r="I1235" i="5"/>
  <c r="H1235" i="5"/>
  <c r="G1235" i="5"/>
  <c r="F1235" i="5"/>
  <c r="E1235" i="5"/>
  <c r="D1235" i="5"/>
  <c r="C1235" i="5"/>
  <c r="B1235" i="5"/>
  <c r="I1234" i="5"/>
  <c r="H1234" i="5"/>
  <c r="G1234" i="5"/>
  <c r="F1234" i="5"/>
  <c r="E1234" i="5"/>
  <c r="D1234" i="5"/>
  <c r="C1234" i="5"/>
  <c r="B1234" i="5"/>
  <c r="I1233" i="5"/>
  <c r="H1233" i="5"/>
  <c r="G1233" i="5"/>
  <c r="F1233" i="5"/>
  <c r="E1233" i="5"/>
  <c r="D1233" i="5"/>
  <c r="C1233" i="5"/>
  <c r="B1233" i="5"/>
  <c r="I1232" i="5"/>
  <c r="H1232" i="5"/>
  <c r="G1232" i="5"/>
  <c r="F1232" i="5"/>
  <c r="E1232" i="5"/>
  <c r="D1232" i="5"/>
  <c r="C1232" i="5"/>
  <c r="B1232" i="5"/>
  <c r="I1231" i="5"/>
  <c r="H1231" i="5"/>
  <c r="G1231" i="5"/>
  <c r="F1231" i="5"/>
  <c r="E1231" i="5"/>
  <c r="D1231" i="5"/>
  <c r="C1231" i="5"/>
  <c r="B1231" i="5"/>
  <c r="I1230" i="5"/>
  <c r="H1230" i="5"/>
  <c r="G1230" i="5"/>
  <c r="F1230" i="5"/>
  <c r="E1230" i="5"/>
  <c r="D1230" i="5"/>
  <c r="C1230" i="5"/>
  <c r="B1230" i="5"/>
  <c r="I1229" i="5"/>
  <c r="H1229" i="5"/>
  <c r="G1229" i="5"/>
  <c r="F1229" i="5"/>
  <c r="E1229" i="5"/>
  <c r="D1229" i="5"/>
  <c r="C1229" i="5"/>
  <c r="B1229" i="5"/>
  <c r="I1228" i="5"/>
  <c r="H1228" i="5"/>
  <c r="G1228" i="5"/>
  <c r="F1228" i="5"/>
  <c r="E1228" i="5"/>
  <c r="D1228" i="5"/>
  <c r="C1228" i="5"/>
  <c r="B1228" i="5"/>
  <c r="I1227" i="5"/>
  <c r="H1227" i="5"/>
  <c r="G1227" i="5"/>
  <c r="F1227" i="5"/>
  <c r="E1227" i="5"/>
  <c r="D1227" i="5"/>
  <c r="C1227" i="5"/>
  <c r="B1227" i="5"/>
  <c r="I1226" i="5"/>
  <c r="H1226" i="5"/>
  <c r="G1226" i="5"/>
  <c r="F1226" i="5"/>
  <c r="E1226" i="5"/>
  <c r="D1226" i="5"/>
  <c r="C1226" i="5"/>
  <c r="B1226" i="5"/>
  <c r="I1225" i="5"/>
  <c r="H1225" i="5"/>
  <c r="G1225" i="5"/>
  <c r="F1225" i="5"/>
  <c r="E1225" i="5"/>
  <c r="D1225" i="5"/>
  <c r="C1225" i="5"/>
  <c r="B1225" i="5"/>
  <c r="I1224" i="5"/>
  <c r="H1224" i="5"/>
  <c r="G1224" i="5"/>
  <c r="F1224" i="5"/>
  <c r="E1224" i="5"/>
  <c r="D1224" i="5"/>
  <c r="C1224" i="5"/>
  <c r="B1224" i="5"/>
  <c r="I1223" i="5"/>
  <c r="H1223" i="5"/>
  <c r="G1223" i="5"/>
  <c r="F1223" i="5"/>
  <c r="E1223" i="5"/>
  <c r="D1223" i="5"/>
  <c r="C1223" i="5"/>
  <c r="B1223" i="5"/>
  <c r="I1222" i="5"/>
  <c r="H1222" i="5"/>
  <c r="G1222" i="5"/>
  <c r="F1222" i="5"/>
  <c r="E1222" i="5"/>
  <c r="D1222" i="5"/>
  <c r="C1222" i="5"/>
  <c r="B1222" i="5"/>
  <c r="I1221" i="5"/>
  <c r="H1221" i="5"/>
  <c r="G1221" i="5"/>
  <c r="F1221" i="5"/>
  <c r="E1221" i="5"/>
  <c r="D1221" i="5"/>
  <c r="C1221" i="5"/>
  <c r="B1221" i="5"/>
  <c r="I1220" i="5"/>
  <c r="H1220" i="5"/>
  <c r="G1220" i="5"/>
  <c r="F1220" i="5"/>
  <c r="E1220" i="5"/>
  <c r="D1220" i="5"/>
  <c r="C1220" i="5"/>
  <c r="B1220" i="5"/>
  <c r="I1219" i="5"/>
  <c r="H1219" i="5"/>
  <c r="G1219" i="5"/>
  <c r="F1219" i="5"/>
  <c r="E1219" i="5"/>
  <c r="D1219" i="5"/>
  <c r="C1219" i="5"/>
  <c r="B1219" i="5"/>
  <c r="I1218" i="5"/>
  <c r="H1218" i="5"/>
  <c r="G1218" i="5"/>
  <c r="F1218" i="5"/>
  <c r="E1218" i="5"/>
  <c r="D1218" i="5"/>
  <c r="C1218" i="5"/>
  <c r="B1218" i="5"/>
  <c r="I1217" i="5"/>
  <c r="H1217" i="5"/>
  <c r="G1217" i="5"/>
  <c r="F1217" i="5"/>
  <c r="E1217" i="5"/>
  <c r="D1217" i="5"/>
  <c r="C1217" i="5"/>
  <c r="B1217" i="5"/>
  <c r="I1216" i="5"/>
  <c r="H1216" i="5"/>
  <c r="G1216" i="5"/>
  <c r="F1216" i="5"/>
  <c r="E1216" i="5"/>
  <c r="D1216" i="5"/>
  <c r="C1216" i="5"/>
  <c r="B1216" i="5"/>
  <c r="I1215" i="5"/>
  <c r="H1215" i="5"/>
  <c r="G1215" i="5"/>
  <c r="F1215" i="5"/>
  <c r="E1215" i="5"/>
  <c r="D1215" i="5"/>
  <c r="C1215" i="5"/>
  <c r="B1215" i="5"/>
  <c r="I1214" i="5"/>
  <c r="H1214" i="5"/>
  <c r="G1214" i="5"/>
  <c r="F1214" i="5"/>
  <c r="E1214" i="5"/>
  <c r="D1214" i="5"/>
  <c r="C1214" i="5"/>
  <c r="B1214" i="5"/>
  <c r="I1213" i="5"/>
  <c r="H1213" i="5"/>
  <c r="G1213" i="5"/>
  <c r="F1213" i="5"/>
  <c r="E1213" i="5"/>
  <c r="D1213" i="5"/>
  <c r="C1213" i="5"/>
  <c r="B1213" i="5"/>
  <c r="I1212" i="5"/>
  <c r="H1212" i="5"/>
  <c r="G1212" i="5"/>
  <c r="F1212" i="5"/>
  <c r="E1212" i="5"/>
  <c r="D1212" i="5"/>
  <c r="C1212" i="5"/>
  <c r="B1212" i="5"/>
  <c r="I1211" i="5"/>
  <c r="H1211" i="5"/>
  <c r="G1211" i="5"/>
  <c r="F1211" i="5"/>
  <c r="E1211" i="5"/>
  <c r="D1211" i="5"/>
  <c r="C1211" i="5"/>
  <c r="B1211" i="5"/>
  <c r="I1210" i="5"/>
  <c r="H1210" i="5"/>
  <c r="G1210" i="5"/>
  <c r="F1210" i="5"/>
  <c r="E1210" i="5"/>
  <c r="D1210" i="5"/>
  <c r="C1210" i="5"/>
  <c r="B1210" i="5"/>
  <c r="I1209" i="5"/>
  <c r="H1209" i="5"/>
  <c r="G1209" i="5"/>
  <c r="F1209" i="5"/>
  <c r="E1209" i="5"/>
  <c r="D1209" i="5"/>
  <c r="C1209" i="5"/>
  <c r="B1209" i="5"/>
  <c r="I1208" i="5"/>
  <c r="H1208" i="5"/>
  <c r="G1208" i="5"/>
  <c r="F1208" i="5"/>
  <c r="E1208" i="5"/>
  <c r="D1208" i="5"/>
  <c r="C1208" i="5"/>
  <c r="B1208" i="5"/>
  <c r="I1207" i="5"/>
  <c r="H1207" i="5"/>
  <c r="G1207" i="5"/>
  <c r="F1207" i="5"/>
  <c r="E1207" i="5"/>
  <c r="D1207" i="5"/>
  <c r="C1207" i="5"/>
  <c r="B1207" i="5"/>
  <c r="I1206" i="5"/>
  <c r="H1206" i="5"/>
  <c r="G1206" i="5"/>
  <c r="F1206" i="5"/>
  <c r="E1206" i="5"/>
  <c r="D1206" i="5"/>
  <c r="C1206" i="5"/>
  <c r="B1206" i="5"/>
  <c r="I1205" i="5"/>
  <c r="H1205" i="5"/>
  <c r="G1205" i="5"/>
  <c r="F1205" i="5"/>
  <c r="E1205" i="5"/>
  <c r="D1205" i="5"/>
  <c r="C1205" i="5"/>
  <c r="B1205" i="5"/>
  <c r="I1204" i="5"/>
  <c r="H1204" i="5"/>
  <c r="G1204" i="5"/>
  <c r="F1204" i="5"/>
  <c r="E1204" i="5"/>
  <c r="D1204" i="5"/>
  <c r="C1204" i="5"/>
  <c r="B1204" i="5"/>
  <c r="I1203" i="5"/>
  <c r="H1203" i="5"/>
  <c r="G1203" i="5"/>
  <c r="F1203" i="5"/>
  <c r="E1203" i="5"/>
  <c r="D1203" i="5"/>
  <c r="C1203" i="5"/>
  <c r="B1203" i="5"/>
  <c r="I1202" i="5"/>
  <c r="H1202" i="5"/>
  <c r="G1202" i="5"/>
  <c r="F1202" i="5"/>
  <c r="E1202" i="5"/>
  <c r="D1202" i="5"/>
  <c r="C1202" i="5"/>
  <c r="B1202" i="5"/>
  <c r="I1201" i="5"/>
  <c r="H1201" i="5"/>
  <c r="G1201" i="5"/>
  <c r="F1201" i="5"/>
  <c r="E1201" i="5"/>
  <c r="D1201" i="5"/>
  <c r="C1201" i="5"/>
  <c r="B1201" i="5"/>
  <c r="I1200" i="5"/>
  <c r="H1200" i="5"/>
  <c r="G1200" i="5"/>
  <c r="F1200" i="5"/>
  <c r="E1200" i="5"/>
  <c r="D1200" i="5"/>
  <c r="C1200" i="5"/>
  <c r="B1200" i="5"/>
  <c r="I1199" i="5"/>
  <c r="H1199" i="5"/>
  <c r="G1199" i="5"/>
  <c r="F1199" i="5"/>
  <c r="E1199" i="5"/>
  <c r="D1199" i="5"/>
  <c r="C1199" i="5"/>
  <c r="B1199" i="5"/>
  <c r="I1198" i="5"/>
  <c r="H1198" i="5"/>
  <c r="G1198" i="5"/>
  <c r="F1198" i="5"/>
  <c r="E1198" i="5"/>
  <c r="D1198" i="5"/>
  <c r="C1198" i="5"/>
  <c r="B1198" i="5"/>
  <c r="I1197" i="5"/>
  <c r="H1197" i="5"/>
  <c r="G1197" i="5"/>
  <c r="F1197" i="5"/>
  <c r="E1197" i="5"/>
  <c r="D1197" i="5"/>
  <c r="C1197" i="5"/>
  <c r="B1197" i="5"/>
  <c r="I1196" i="5"/>
  <c r="H1196" i="5"/>
  <c r="G1196" i="5"/>
  <c r="F1196" i="5"/>
  <c r="E1196" i="5"/>
  <c r="D1196" i="5"/>
  <c r="C1196" i="5"/>
  <c r="B1196" i="5"/>
  <c r="I1195" i="5"/>
  <c r="H1195" i="5"/>
  <c r="G1195" i="5"/>
  <c r="F1195" i="5"/>
  <c r="E1195" i="5"/>
  <c r="D1195" i="5"/>
  <c r="C1195" i="5"/>
  <c r="B1195" i="5"/>
  <c r="I1194" i="5"/>
  <c r="H1194" i="5"/>
  <c r="G1194" i="5"/>
  <c r="F1194" i="5"/>
  <c r="E1194" i="5"/>
  <c r="D1194" i="5"/>
  <c r="C1194" i="5"/>
  <c r="B1194" i="5"/>
  <c r="I1193" i="5"/>
  <c r="H1193" i="5"/>
  <c r="G1193" i="5"/>
  <c r="F1193" i="5"/>
  <c r="E1193" i="5"/>
  <c r="D1193" i="5"/>
  <c r="C1193" i="5"/>
  <c r="B1193" i="5"/>
  <c r="I1192" i="5"/>
  <c r="H1192" i="5"/>
  <c r="G1192" i="5"/>
  <c r="F1192" i="5"/>
  <c r="E1192" i="5"/>
  <c r="D1192" i="5"/>
  <c r="C1192" i="5"/>
  <c r="B1192" i="5"/>
  <c r="I1191" i="5"/>
  <c r="H1191" i="5"/>
  <c r="G1191" i="5"/>
  <c r="F1191" i="5"/>
  <c r="E1191" i="5"/>
  <c r="D1191" i="5"/>
  <c r="C1191" i="5"/>
  <c r="B1191" i="5"/>
  <c r="I1190" i="5"/>
  <c r="H1190" i="5"/>
  <c r="G1190" i="5"/>
  <c r="F1190" i="5"/>
  <c r="E1190" i="5"/>
  <c r="D1190" i="5"/>
  <c r="C1190" i="5"/>
  <c r="B1190" i="5"/>
  <c r="I1189" i="5"/>
  <c r="H1189" i="5"/>
  <c r="G1189" i="5"/>
  <c r="F1189" i="5"/>
  <c r="E1189" i="5"/>
  <c r="D1189" i="5"/>
  <c r="C1189" i="5"/>
  <c r="B1189" i="5"/>
  <c r="I1188" i="5"/>
  <c r="H1188" i="5"/>
  <c r="G1188" i="5"/>
  <c r="F1188" i="5"/>
  <c r="E1188" i="5"/>
  <c r="D1188" i="5"/>
  <c r="C1188" i="5"/>
  <c r="B1188" i="5"/>
  <c r="I1187" i="5"/>
  <c r="H1187" i="5"/>
  <c r="G1187" i="5"/>
  <c r="F1187" i="5"/>
  <c r="E1187" i="5"/>
  <c r="D1187" i="5"/>
  <c r="C1187" i="5"/>
  <c r="B1187" i="5"/>
  <c r="I1186" i="5"/>
  <c r="H1186" i="5"/>
  <c r="G1186" i="5"/>
  <c r="F1186" i="5"/>
  <c r="E1186" i="5"/>
  <c r="D1186" i="5"/>
  <c r="C1186" i="5"/>
  <c r="B1186" i="5"/>
  <c r="I1185" i="5"/>
  <c r="H1185" i="5"/>
  <c r="G1185" i="5"/>
  <c r="F1185" i="5"/>
  <c r="E1185" i="5"/>
  <c r="D1185" i="5"/>
  <c r="C1185" i="5"/>
  <c r="B1185" i="5"/>
  <c r="I1184" i="5"/>
  <c r="H1184" i="5"/>
  <c r="G1184" i="5"/>
  <c r="F1184" i="5"/>
  <c r="E1184" i="5"/>
  <c r="D1184" i="5"/>
  <c r="C1184" i="5"/>
  <c r="B1184" i="5"/>
  <c r="I1183" i="5"/>
  <c r="H1183" i="5"/>
  <c r="G1183" i="5"/>
  <c r="F1183" i="5"/>
  <c r="E1183" i="5"/>
  <c r="D1183" i="5"/>
  <c r="C1183" i="5"/>
  <c r="B1183" i="5"/>
  <c r="I1182" i="5"/>
  <c r="H1182" i="5"/>
  <c r="G1182" i="5"/>
  <c r="F1182" i="5"/>
  <c r="E1182" i="5"/>
  <c r="D1182" i="5"/>
  <c r="C1182" i="5"/>
  <c r="B1182" i="5"/>
  <c r="I1181" i="5"/>
  <c r="H1181" i="5"/>
  <c r="G1181" i="5"/>
  <c r="F1181" i="5"/>
  <c r="E1181" i="5"/>
  <c r="D1181" i="5"/>
  <c r="C1181" i="5"/>
  <c r="B1181" i="5"/>
  <c r="I1180" i="5"/>
  <c r="H1180" i="5"/>
  <c r="G1180" i="5"/>
  <c r="F1180" i="5"/>
  <c r="E1180" i="5"/>
  <c r="D1180" i="5"/>
  <c r="C1180" i="5"/>
  <c r="B1180" i="5"/>
  <c r="I1179" i="5"/>
  <c r="H1179" i="5"/>
  <c r="G1179" i="5"/>
  <c r="F1179" i="5"/>
  <c r="E1179" i="5"/>
  <c r="D1179" i="5"/>
  <c r="C1179" i="5"/>
  <c r="B1179" i="5"/>
  <c r="I1178" i="5"/>
  <c r="H1178" i="5"/>
  <c r="G1178" i="5"/>
  <c r="F1178" i="5"/>
  <c r="E1178" i="5"/>
  <c r="D1178" i="5"/>
  <c r="C1178" i="5"/>
  <c r="B1178" i="5"/>
  <c r="I1177" i="5"/>
  <c r="H1177" i="5"/>
  <c r="G1177" i="5"/>
  <c r="F1177" i="5"/>
  <c r="E1177" i="5"/>
  <c r="D1177" i="5"/>
  <c r="C1177" i="5"/>
  <c r="B1177" i="5"/>
  <c r="I1176" i="5"/>
  <c r="H1176" i="5"/>
  <c r="G1176" i="5"/>
  <c r="F1176" i="5"/>
  <c r="E1176" i="5"/>
  <c r="D1176" i="5"/>
  <c r="C1176" i="5"/>
  <c r="B1176" i="5"/>
  <c r="I1175" i="5"/>
  <c r="H1175" i="5"/>
  <c r="G1175" i="5"/>
  <c r="F1175" i="5"/>
  <c r="E1175" i="5"/>
  <c r="D1175" i="5"/>
  <c r="C1175" i="5"/>
  <c r="B1175" i="5"/>
  <c r="I1174" i="5"/>
  <c r="H1174" i="5"/>
  <c r="G1174" i="5"/>
  <c r="F1174" i="5"/>
  <c r="E1174" i="5"/>
  <c r="D1174" i="5"/>
  <c r="C1174" i="5"/>
  <c r="B1174" i="5"/>
  <c r="I1173" i="5"/>
  <c r="H1173" i="5"/>
  <c r="G1173" i="5"/>
  <c r="F1173" i="5"/>
  <c r="E1173" i="5"/>
  <c r="D1173" i="5"/>
  <c r="C1173" i="5"/>
  <c r="B1173" i="5"/>
  <c r="I1172" i="5"/>
  <c r="H1172" i="5"/>
  <c r="G1172" i="5"/>
  <c r="F1172" i="5"/>
  <c r="E1172" i="5"/>
  <c r="D1172" i="5"/>
  <c r="C1172" i="5"/>
  <c r="B1172" i="5"/>
  <c r="I1171" i="5"/>
  <c r="H1171" i="5"/>
  <c r="G1171" i="5"/>
  <c r="F1171" i="5"/>
  <c r="E1171" i="5"/>
  <c r="D1171" i="5"/>
  <c r="C1171" i="5"/>
  <c r="B1171" i="5"/>
  <c r="I1170" i="5"/>
  <c r="H1170" i="5"/>
  <c r="G1170" i="5"/>
  <c r="F1170" i="5"/>
  <c r="E1170" i="5"/>
  <c r="D1170" i="5"/>
  <c r="C1170" i="5"/>
  <c r="B1170" i="5"/>
  <c r="I1169" i="5"/>
  <c r="H1169" i="5"/>
  <c r="G1169" i="5"/>
  <c r="F1169" i="5"/>
  <c r="E1169" i="5"/>
  <c r="D1169" i="5"/>
  <c r="C1169" i="5"/>
  <c r="B1169" i="5"/>
  <c r="I1168" i="5"/>
  <c r="H1168" i="5"/>
  <c r="G1168" i="5"/>
  <c r="F1168" i="5"/>
  <c r="E1168" i="5"/>
  <c r="D1168" i="5"/>
  <c r="C1168" i="5"/>
  <c r="B1168" i="5"/>
  <c r="I1167" i="5"/>
  <c r="H1167" i="5"/>
  <c r="G1167" i="5"/>
  <c r="F1167" i="5"/>
  <c r="E1167" i="5"/>
  <c r="D1167" i="5"/>
  <c r="C1167" i="5"/>
  <c r="B1167" i="5"/>
  <c r="I1166" i="5"/>
  <c r="H1166" i="5"/>
  <c r="G1166" i="5"/>
  <c r="F1166" i="5"/>
  <c r="E1166" i="5"/>
  <c r="D1166" i="5"/>
  <c r="C1166" i="5"/>
  <c r="B1166" i="5"/>
  <c r="I1165" i="5"/>
  <c r="H1165" i="5"/>
  <c r="G1165" i="5"/>
  <c r="F1165" i="5"/>
  <c r="E1165" i="5"/>
  <c r="D1165" i="5"/>
  <c r="C1165" i="5"/>
  <c r="B1165" i="5"/>
  <c r="I1164" i="5"/>
  <c r="H1164" i="5"/>
  <c r="G1164" i="5"/>
  <c r="F1164" i="5"/>
  <c r="E1164" i="5"/>
  <c r="D1164" i="5"/>
  <c r="C1164" i="5"/>
  <c r="B1164" i="5"/>
  <c r="I1163" i="5"/>
  <c r="H1163" i="5"/>
  <c r="G1163" i="5"/>
  <c r="F1163" i="5"/>
  <c r="E1163" i="5"/>
  <c r="D1163" i="5"/>
  <c r="C1163" i="5"/>
  <c r="B1163" i="5"/>
  <c r="I1162" i="5"/>
  <c r="H1162" i="5"/>
  <c r="G1162" i="5"/>
  <c r="F1162" i="5"/>
  <c r="E1162" i="5"/>
  <c r="D1162" i="5"/>
  <c r="C1162" i="5"/>
  <c r="B1162" i="5"/>
  <c r="I1161" i="5"/>
  <c r="H1161" i="5"/>
  <c r="G1161" i="5"/>
  <c r="F1161" i="5"/>
  <c r="E1161" i="5"/>
  <c r="D1161" i="5"/>
  <c r="C1161" i="5"/>
  <c r="B1161" i="5"/>
  <c r="I1160" i="5"/>
  <c r="H1160" i="5"/>
  <c r="G1160" i="5"/>
  <c r="F1160" i="5"/>
  <c r="E1160" i="5"/>
  <c r="D1160" i="5"/>
  <c r="C1160" i="5"/>
  <c r="B1160" i="5"/>
  <c r="I1159" i="5"/>
  <c r="H1159" i="5"/>
  <c r="G1159" i="5"/>
  <c r="F1159" i="5"/>
  <c r="E1159" i="5"/>
  <c r="D1159" i="5"/>
  <c r="C1159" i="5"/>
  <c r="B1159" i="5"/>
  <c r="I1158" i="5"/>
  <c r="H1158" i="5"/>
  <c r="G1158" i="5"/>
  <c r="F1158" i="5"/>
  <c r="E1158" i="5"/>
  <c r="D1158" i="5"/>
  <c r="C1158" i="5"/>
  <c r="B1158" i="5"/>
  <c r="I1157" i="5"/>
  <c r="H1157" i="5"/>
  <c r="G1157" i="5"/>
  <c r="F1157" i="5"/>
  <c r="E1157" i="5"/>
  <c r="D1157" i="5"/>
  <c r="C1157" i="5"/>
  <c r="B1157" i="5"/>
  <c r="I1156" i="5"/>
  <c r="H1156" i="5"/>
  <c r="G1156" i="5"/>
  <c r="F1156" i="5"/>
  <c r="E1156" i="5"/>
  <c r="D1156" i="5"/>
  <c r="C1156" i="5"/>
  <c r="B1156" i="5"/>
  <c r="I1155" i="5"/>
  <c r="H1155" i="5"/>
  <c r="G1155" i="5"/>
  <c r="F1155" i="5"/>
  <c r="E1155" i="5"/>
  <c r="D1155" i="5"/>
  <c r="C1155" i="5"/>
  <c r="B1155" i="5"/>
  <c r="I1154" i="5"/>
  <c r="H1154" i="5"/>
  <c r="G1154" i="5"/>
  <c r="F1154" i="5"/>
  <c r="E1154" i="5"/>
  <c r="D1154" i="5"/>
  <c r="C1154" i="5"/>
  <c r="B1154" i="5"/>
  <c r="I1153" i="5"/>
  <c r="H1153" i="5"/>
  <c r="G1153" i="5"/>
  <c r="F1153" i="5"/>
  <c r="E1153" i="5"/>
  <c r="D1153" i="5"/>
  <c r="C1153" i="5"/>
  <c r="B1153" i="5"/>
  <c r="I1152" i="5"/>
  <c r="H1152" i="5"/>
  <c r="G1152" i="5"/>
  <c r="F1152" i="5"/>
  <c r="E1152" i="5"/>
  <c r="D1152" i="5"/>
  <c r="C1152" i="5"/>
  <c r="B1152" i="5"/>
  <c r="I1151" i="5"/>
  <c r="H1151" i="5"/>
  <c r="G1151" i="5"/>
  <c r="F1151" i="5"/>
  <c r="E1151" i="5"/>
  <c r="D1151" i="5"/>
  <c r="C1151" i="5"/>
  <c r="B1151" i="5"/>
  <c r="I1150" i="5"/>
  <c r="H1150" i="5"/>
  <c r="G1150" i="5"/>
  <c r="F1150" i="5"/>
  <c r="E1150" i="5"/>
  <c r="D1150" i="5"/>
  <c r="C1150" i="5"/>
  <c r="B1150" i="5"/>
  <c r="I1149" i="5"/>
  <c r="H1149" i="5"/>
  <c r="G1149" i="5"/>
  <c r="F1149" i="5"/>
  <c r="E1149" i="5"/>
  <c r="D1149" i="5"/>
  <c r="C1149" i="5"/>
  <c r="B1149" i="5"/>
  <c r="I1148" i="5"/>
  <c r="H1148" i="5"/>
  <c r="G1148" i="5"/>
  <c r="F1148" i="5"/>
  <c r="E1148" i="5"/>
  <c r="D1148" i="5"/>
  <c r="C1148" i="5"/>
  <c r="B1148" i="5"/>
  <c r="I1147" i="5"/>
  <c r="H1147" i="5"/>
  <c r="G1147" i="5"/>
  <c r="F1147" i="5"/>
  <c r="E1147" i="5"/>
  <c r="D1147" i="5"/>
  <c r="C1147" i="5"/>
  <c r="B1147" i="5"/>
  <c r="I1146" i="5"/>
  <c r="H1146" i="5"/>
  <c r="G1146" i="5"/>
  <c r="F1146" i="5"/>
  <c r="E1146" i="5"/>
  <c r="D1146" i="5"/>
  <c r="C1146" i="5"/>
  <c r="B1146" i="5"/>
  <c r="I1145" i="5"/>
  <c r="G1145" i="5"/>
  <c r="F1145" i="5"/>
  <c r="E1145" i="5"/>
  <c r="D1145" i="5"/>
  <c r="C1145" i="5"/>
  <c r="B1145" i="5"/>
  <c r="I1144" i="5"/>
  <c r="G1144" i="5"/>
  <c r="F1144" i="5"/>
  <c r="E1144" i="5"/>
  <c r="D1144" i="5"/>
  <c r="C1144" i="5"/>
  <c r="B1144" i="5"/>
  <c r="I1143" i="5"/>
  <c r="H1143" i="5"/>
  <c r="G1143" i="5"/>
  <c r="F1143" i="5"/>
  <c r="E1143" i="5"/>
  <c r="D1143" i="5"/>
  <c r="C1143" i="5"/>
  <c r="B1143" i="5"/>
  <c r="I1142" i="5"/>
  <c r="H1142" i="5"/>
  <c r="G1142" i="5"/>
  <c r="F1142" i="5"/>
  <c r="E1142" i="5"/>
  <c r="D1142" i="5"/>
  <c r="C1142" i="5"/>
  <c r="B1142" i="5"/>
  <c r="I1141" i="5"/>
  <c r="H1141" i="5"/>
  <c r="G1141" i="5"/>
  <c r="F1141" i="5"/>
  <c r="E1141" i="5"/>
  <c r="D1141" i="5"/>
  <c r="C1141" i="5"/>
  <c r="B1141" i="5"/>
  <c r="I1140" i="5"/>
  <c r="H1140" i="5"/>
  <c r="G1140" i="5"/>
  <c r="F1140" i="5"/>
  <c r="E1140" i="5"/>
  <c r="D1140" i="5"/>
  <c r="C1140" i="5"/>
  <c r="B1140" i="5"/>
  <c r="I1139" i="5"/>
  <c r="H1139" i="5"/>
  <c r="G1139" i="5"/>
  <c r="F1139" i="5"/>
  <c r="E1139" i="5"/>
  <c r="D1139" i="5"/>
  <c r="C1139" i="5"/>
  <c r="B1139" i="5"/>
  <c r="I1138" i="5"/>
  <c r="H1138" i="5"/>
  <c r="G1138" i="5"/>
  <c r="F1138" i="5"/>
  <c r="E1138" i="5"/>
  <c r="D1138" i="5"/>
  <c r="C1138" i="5"/>
  <c r="B1138" i="5"/>
  <c r="I1137" i="5"/>
  <c r="H1137" i="5"/>
  <c r="G1137" i="5"/>
  <c r="F1137" i="5"/>
  <c r="E1137" i="5"/>
  <c r="D1137" i="5"/>
  <c r="C1137" i="5"/>
  <c r="B1137" i="5"/>
  <c r="I1136" i="5"/>
  <c r="H1136" i="5"/>
  <c r="G1136" i="5"/>
  <c r="F1136" i="5"/>
  <c r="E1136" i="5"/>
  <c r="D1136" i="5"/>
  <c r="C1136" i="5"/>
  <c r="B1136" i="5"/>
  <c r="I1135" i="5"/>
  <c r="H1135" i="5"/>
  <c r="G1135" i="5"/>
  <c r="F1135" i="5"/>
  <c r="E1135" i="5"/>
  <c r="D1135" i="5"/>
  <c r="C1135" i="5"/>
  <c r="B1135" i="5"/>
  <c r="I1134" i="5"/>
  <c r="H1134" i="5"/>
  <c r="G1134" i="5"/>
  <c r="F1134" i="5"/>
  <c r="E1134" i="5"/>
  <c r="D1134" i="5"/>
  <c r="C1134" i="5"/>
  <c r="B1134" i="5"/>
  <c r="I1133" i="5"/>
  <c r="H1133" i="5"/>
  <c r="G1133" i="5"/>
  <c r="F1133" i="5"/>
  <c r="E1133" i="5"/>
  <c r="D1133" i="5"/>
  <c r="C1133" i="5"/>
  <c r="B1133" i="5"/>
  <c r="I1132" i="5"/>
  <c r="H1132" i="5"/>
  <c r="G1132" i="5"/>
  <c r="F1132" i="5"/>
  <c r="E1132" i="5"/>
  <c r="D1132" i="5"/>
  <c r="C1132" i="5"/>
  <c r="B1132" i="5"/>
  <c r="I1131" i="5"/>
  <c r="H1131" i="5"/>
  <c r="G1131" i="5"/>
  <c r="F1131" i="5"/>
  <c r="E1131" i="5"/>
  <c r="D1131" i="5"/>
  <c r="C1131" i="5"/>
  <c r="B1131" i="5"/>
  <c r="I1130" i="5"/>
  <c r="H1130" i="5"/>
  <c r="G1130" i="5"/>
  <c r="F1130" i="5"/>
  <c r="E1130" i="5"/>
  <c r="D1130" i="5"/>
  <c r="C1130" i="5"/>
  <c r="B1130" i="5"/>
  <c r="I1129" i="5"/>
  <c r="H1129" i="5"/>
  <c r="G1129" i="5"/>
  <c r="F1129" i="5"/>
  <c r="E1129" i="5"/>
  <c r="D1129" i="5"/>
  <c r="C1129" i="5"/>
  <c r="B1129" i="5"/>
  <c r="I1128" i="5"/>
  <c r="H1128" i="5"/>
  <c r="G1128" i="5"/>
  <c r="F1128" i="5"/>
  <c r="E1128" i="5"/>
  <c r="D1128" i="5"/>
  <c r="C1128" i="5"/>
  <c r="B1128" i="5"/>
  <c r="I1127" i="5"/>
  <c r="H1127" i="5"/>
  <c r="G1127" i="5"/>
  <c r="F1127" i="5"/>
  <c r="E1127" i="5"/>
  <c r="D1127" i="5"/>
  <c r="C1127" i="5"/>
  <c r="B1127" i="5"/>
  <c r="I1126" i="5"/>
  <c r="H1126" i="5"/>
  <c r="G1126" i="5"/>
  <c r="F1126" i="5"/>
  <c r="E1126" i="5"/>
  <c r="D1126" i="5"/>
  <c r="C1126" i="5"/>
  <c r="B1126" i="5"/>
  <c r="I1125" i="5"/>
  <c r="H1125" i="5"/>
  <c r="G1125" i="5"/>
  <c r="F1125" i="5"/>
  <c r="E1125" i="5"/>
  <c r="D1125" i="5"/>
  <c r="C1125" i="5"/>
  <c r="B1125" i="5"/>
  <c r="I1124" i="5"/>
  <c r="H1124" i="5"/>
  <c r="G1124" i="5"/>
  <c r="F1124" i="5"/>
  <c r="E1124" i="5"/>
  <c r="D1124" i="5"/>
  <c r="C1124" i="5"/>
  <c r="B1124" i="5"/>
  <c r="I1123" i="5"/>
  <c r="H1123" i="5"/>
  <c r="G1123" i="5"/>
  <c r="F1123" i="5"/>
  <c r="E1123" i="5"/>
  <c r="D1123" i="5"/>
  <c r="C1123" i="5"/>
  <c r="B1123" i="5"/>
  <c r="I1122" i="5"/>
  <c r="H1122" i="5"/>
  <c r="G1122" i="5"/>
  <c r="F1122" i="5"/>
  <c r="E1122" i="5"/>
  <c r="D1122" i="5"/>
  <c r="C1122" i="5"/>
  <c r="B1122" i="5"/>
  <c r="I1121" i="5"/>
  <c r="H1121" i="5"/>
  <c r="G1121" i="5"/>
  <c r="F1121" i="5"/>
  <c r="E1121" i="5"/>
  <c r="D1121" i="5"/>
  <c r="C1121" i="5"/>
  <c r="B1121" i="5"/>
  <c r="I1120" i="5"/>
  <c r="H1120" i="5"/>
  <c r="G1120" i="5"/>
  <c r="F1120" i="5"/>
  <c r="E1120" i="5"/>
  <c r="D1120" i="5"/>
  <c r="C1120" i="5"/>
  <c r="B1120" i="5"/>
  <c r="I1119" i="5"/>
  <c r="H1119" i="5"/>
  <c r="G1119" i="5"/>
  <c r="F1119" i="5"/>
  <c r="E1119" i="5"/>
  <c r="D1119" i="5"/>
  <c r="C1119" i="5"/>
  <c r="B1119" i="5"/>
  <c r="I1118" i="5"/>
  <c r="H1118" i="5"/>
  <c r="G1118" i="5"/>
  <c r="F1118" i="5"/>
  <c r="E1118" i="5"/>
  <c r="D1118" i="5"/>
  <c r="C1118" i="5"/>
  <c r="B1118" i="5"/>
  <c r="I1117" i="5"/>
  <c r="H1117" i="5"/>
  <c r="G1117" i="5"/>
  <c r="F1117" i="5"/>
  <c r="E1117" i="5"/>
  <c r="D1117" i="5"/>
  <c r="C1117" i="5"/>
  <c r="B1117" i="5"/>
  <c r="I1116" i="5"/>
  <c r="H1116" i="5"/>
  <c r="G1116" i="5"/>
  <c r="F1116" i="5"/>
  <c r="E1116" i="5"/>
  <c r="D1116" i="5"/>
  <c r="C1116" i="5"/>
  <c r="B1116" i="5"/>
  <c r="I1115" i="5"/>
  <c r="H1115" i="5"/>
  <c r="G1115" i="5"/>
  <c r="F1115" i="5"/>
  <c r="E1115" i="5"/>
  <c r="D1115" i="5"/>
  <c r="C1115" i="5"/>
  <c r="B1115" i="5"/>
  <c r="I1114" i="5"/>
  <c r="H1114" i="5"/>
  <c r="G1114" i="5"/>
  <c r="F1114" i="5"/>
  <c r="E1114" i="5"/>
  <c r="D1114" i="5"/>
  <c r="C1114" i="5"/>
  <c r="B1114" i="5"/>
  <c r="I1113" i="5"/>
  <c r="H1113" i="5"/>
  <c r="G1113" i="5"/>
  <c r="F1113" i="5"/>
  <c r="E1113" i="5"/>
  <c r="D1113" i="5"/>
  <c r="C1113" i="5"/>
  <c r="B1113" i="5"/>
  <c r="I1112" i="5"/>
  <c r="H1112" i="5"/>
  <c r="G1112" i="5"/>
  <c r="F1112" i="5"/>
  <c r="E1112" i="5"/>
  <c r="D1112" i="5"/>
  <c r="C1112" i="5"/>
  <c r="B1112" i="5"/>
  <c r="I1111" i="5"/>
  <c r="H1111" i="5"/>
  <c r="G1111" i="5"/>
  <c r="F1111" i="5"/>
  <c r="E1111" i="5"/>
  <c r="D1111" i="5"/>
  <c r="C1111" i="5"/>
  <c r="B1111" i="5"/>
  <c r="I1110" i="5"/>
  <c r="H1110" i="5"/>
  <c r="G1110" i="5"/>
  <c r="F1110" i="5"/>
  <c r="E1110" i="5"/>
  <c r="D1110" i="5"/>
  <c r="C1110" i="5"/>
  <c r="B1110" i="5"/>
  <c r="I1109" i="5"/>
  <c r="H1109" i="5"/>
  <c r="G1109" i="5"/>
  <c r="F1109" i="5"/>
  <c r="E1109" i="5"/>
  <c r="D1109" i="5"/>
  <c r="C1109" i="5"/>
  <c r="B1109" i="5"/>
  <c r="I1108" i="5"/>
  <c r="H1108" i="5"/>
  <c r="G1108" i="5"/>
  <c r="F1108" i="5"/>
  <c r="E1108" i="5"/>
  <c r="D1108" i="5"/>
  <c r="C1108" i="5"/>
  <c r="B1108" i="5"/>
  <c r="I1107" i="5"/>
  <c r="H1107" i="5"/>
  <c r="G1107" i="5"/>
  <c r="F1107" i="5"/>
  <c r="E1107" i="5"/>
  <c r="D1107" i="5"/>
  <c r="C1107" i="5"/>
  <c r="B1107" i="5"/>
  <c r="I1106" i="5"/>
  <c r="H1106" i="5"/>
  <c r="G1106" i="5"/>
  <c r="F1106" i="5"/>
  <c r="E1106" i="5"/>
  <c r="D1106" i="5"/>
  <c r="C1106" i="5"/>
  <c r="B1106" i="5"/>
  <c r="I1105" i="5"/>
  <c r="H1105" i="5"/>
  <c r="G1105" i="5"/>
  <c r="F1105" i="5"/>
  <c r="E1105" i="5"/>
  <c r="D1105" i="5"/>
  <c r="C1105" i="5"/>
  <c r="B1105" i="5"/>
  <c r="I1104" i="5"/>
  <c r="H1104" i="5"/>
  <c r="G1104" i="5"/>
  <c r="F1104" i="5"/>
  <c r="E1104" i="5"/>
  <c r="D1104" i="5"/>
  <c r="C1104" i="5"/>
  <c r="B1104" i="5"/>
  <c r="I1103" i="5"/>
  <c r="H1103" i="5"/>
  <c r="G1103" i="5"/>
  <c r="F1103" i="5"/>
  <c r="E1103" i="5"/>
  <c r="D1103" i="5"/>
  <c r="C1103" i="5"/>
  <c r="B1103" i="5"/>
  <c r="I1102" i="5"/>
  <c r="H1102" i="5"/>
  <c r="G1102" i="5"/>
  <c r="F1102" i="5"/>
  <c r="E1102" i="5"/>
  <c r="D1102" i="5"/>
  <c r="C1102" i="5"/>
  <c r="B1102" i="5"/>
  <c r="I1101" i="5"/>
  <c r="H1101" i="5"/>
  <c r="G1101" i="5"/>
  <c r="F1101" i="5"/>
  <c r="E1101" i="5"/>
  <c r="D1101" i="5"/>
  <c r="C1101" i="5"/>
  <c r="B1101" i="5"/>
  <c r="I1100" i="5"/>
  <c r="H1100" i="5"/>
  <c r="G1100" i="5"/>
  <c r="F1100" i="5"/>
  <c r="E1100" i="5"/>
  <c r="D1100" i="5"/>
  <c r="C1100" i="5"/>
  <c r="B1100" i="5"/>
  <c r="I1099" i="5"/>
  <c r="H1099" i="5"/>
  <c r="G1099" i="5"/>
  <c r="F1099" i="5"/>
  <c r="E1099" i="5"/>
  <c r="D1099" i="5"/>
  <c r="C1099" i="5"/>
  <c r="B1099" i="5"/>
  <c r="I1098" i="5"/>
  <c r="H1098" i="5"/>
  <c r="G1098" i="5"/>
  <c r="F1098" i="5"/>
  <c r="E1098" i="5"/>
  <c r="D1098" i="5"/>
  <c r="C1098" i="5"/>
  <c r="B1098" i="5"/>
  <c r="I1097" i="5"/>
  <c r="H1097" i="5"/>
  <c r="G1097" i="5"/>
  <c r="F1097" i="5"/>
  <c r="E1097" i="5"/>
  <c r="D1097" i="5"/>
  <c r="C1097" i="5"/>
  <c r="B1097" i="5"/>
  <c r="I1096" i="5"/>
  <c r="H1096" i="5"/>
  <c r="G1096" i="5"/>
  <c r="F1096" i="5"/>
  <c r="E1096" i="5"/>
  <c r="D1096" i="5"/>
  <c r="C1096" i="5"/>
  <c r="B1096" i="5"/>
  <c r="I1095" i="5"/>
  <c r="H1095" i="5"/>
  <c r="G1095" i="5"/>
  <c r="F1095" i="5"/>
  <c r="E1095" i="5"/>
  <c r="D1095" i="5"/>
  <c r="C1095" i="5"/>
  <c r="B1095" i="5"/>
  <c r="I1094" i="5"/>
  <c r="H1094" i="5"/>
  <c r="G1094" i="5"/>
  <c r="F1094" i="5"/>
  <c r="E1094" i="5"/>
  <c r="D1094" i="5"/>
  <c r="C1094" i="5"/>
  <c r="B1094" i="5"/>
  <c r="I1093" i="5"/>
  <c r="H1093" i="5"/>
  <c r="G1093" i="5"/>
  <c r="F1093" i="5"/>
  <c r="E1093" i="5"/>
  <c r="D1093" i="5"/>
  <c r="C1093" i="5"/>
  <c r="B1093" i="5"/>
  <c r="I1092" i="5"/>
  <c r="H1092" i="5"/>
  <c r="G1092" i="5"/>
  <c r="F1092" i="5"/>
  <c r="E1092" i="5"/>
  <c r="D1092" i="5"/>
  <c r="C1092" i="5"/>
  <c r="B1092" i="5"/>
  <c r="I1091" i="5"/>
  <c r="H1091" i="5"/>
  <c r="G1091" i="5"/>
  <c r="F1091" i="5"/>
  <c r="E1091" i="5"/>
  <c r="D1091" i="5"/>
  <c r="C1091" i="5"/>
  <c r="B1091" i="5"/>
  <c r="I1090" i="5"/>
  <c r="H1090" i="5"/>
  <c r="G1090" i="5"/>
  <c r="F1090" i="5"/>
  <c r="E1090" i="5"/>
  <c r="D1090" i="5"/>
  <c r="C1090" i="5"/>
  <c r="B1090" i="5"/>
  <c r="I1089" i="5"/>
  <c r="H1089" i="5"/>
  <c r="G1089" i="5"/>
  <c r="F1089" i="5"/>
  <c r="E1089" i="5"/>
  <c r="D1089" i="5"/>
  <c r="C1089" i="5"/>
  <c r="B1089" i="5"/>
  <c r="I1088" i="5"/>
  <c r="H1088" i="5"/>
  <c r="G1088" i="5"/>
  <c r="F1088" i="5"/>
  <c r="E1088" i="5"/>
  <c r="D1088" i="5"/>
  <c r="C1088" i="5"/>
  <c r="B1088" i="5"/>
  <c r="I1087" i="5"/>
  <c r="H1087" i="5"/>
  <c r="G1087" i="5"/>
  <c r="F1087" i="5"/>
  <c r="E1087" i="5"/>
  <c r="D1087" i="5"/>
  <c r="C1087" i="5"/>
  <c r="B1087" i="5"/>
  <c r="I1086" i="5"/>
  <c r="H1086" i="5"/>
  <c r="G1086" i="5"/>
  <c r="F1086" i="5"/>
  <c r="E1086" i="5"/>
  <c r="D1086" i="5"/>
  <c r="C1086" i="5"/>
  <c r="B1086" i="5"/>
  <c r="I1085" i="5"/>
  <c r="H1085" i="5"/>
  <c r="G1085" i="5"/>
  <c r="F1085" i="5"/>
  <c r="E1085" i="5"/>
  <c r="D1085" i="5"/>
  <c r="C1085" i="5"/>
  <c r="B1085" i="5"/>
  <c r="I1084" i="5"/>
  <c r="H1084" i="5"/>
  <c r="G1084" i="5"/>
  <c r="F1084" i="5"/>
  <c r="E1084" i="5"/>
  <c r="D1084" i="5"/>
  <c r="C1084" i="5"/>
  <c r="B1084" i="5"/>
  <c r="I1083" i="5"/>
  <c r="H1083" i="5"/>
  <c r="G1083" i="5"/>
  <c r="F1083" i="5"/>
  <c r="E1083" i="5"/>
  <c r="D1083" i="5"/>
  <c r="C1083" i="5"/>
  <c r="B1083" i="5"/>
  <c r="I1082" i="5"/>
  <c r="H1082" i="5"/>
  <c r="G1082" i="5"/>
  <c r="F1082" i="5"/>
  <c r="E1082" i="5"/>
  <c r="D1082" i="5"/>
  <c r="C1082" i="5"/>
  <c r="B1082" i="5"/>
  <c r="I1081" i="5"/>
  <c r="H1081" i="5"/>
  <c r="G1081" i="5"/>
  <c r="F1081" i="5"/>
  <c r="E1081" i="5"/>
  <c r="D1081" i="5"/>
  <c r="C1081" i="5"/>
  <c r="B1081" i="5"/>
  <c r="I1080" i="5"/>
  <c r="H1080" i="5"/>
  <c r="G1080" i="5"/>
  <c r="F1080" i="5"/>
  <c r="E1080" i="5"/>
  <c r="D1080" i="5"/>
  <c r="C1080" i="5"/>
  <c r="B1080" i="5"/>
  <c r="I1079" i="5"/>
  <c r="H1079" i="5"/>
  <c r="G1079" i="5"/>
  <c r="F1079" i="5"/>
  <c r="E1079" i="5"/>
  <c r="D1079" i="5"/>
  <c r="C1079" i="5"/>
  <c r="B1079" i="5"/>
  <c r="I1078" i="5"/>
  <c r="H1078" i="5"/>
  <c r="G1078" i="5"/>
  <c r="F1078" i="5"/>
  <c r="E1078" i="5"/>
  <c r="D1078" i="5"/>
  <c r="C1078" i="5"/>
  <c r="B1078" i="5"/>
  <c r="I1077" i="5"/>
  <c r="H1077" i="5"/>
  <c r="G1077" i="5"/>
  <c r="F1077" i="5"/>
  <c r="E1077" i="5"/>
  <c r="D1077" i="5"/>
  <c r="C1077" i="5"/>
  <c r="B1077" i="5"/>
  <c r="I1076" i="5"/>
  <c r="H1076" i="5"/>
  <c r="G1076" i="5"/>
  <c r="F1076" i="5"/>
  <c r="E1076" i="5"/>
  <c r="D1076" i="5"/>
  <c r="C1076" i="5"/>
  <c r="B1076" i="5"/>
  <c r="I1075" i="5"/>
  <c r="H1075" i="5"/>
  <c r="G1075" i="5"/>
  <c r="F1075" i="5"/>
  <c r="E1075" i="5"/>
  <c r="D1075" i="5"/>
  <c r="C1075" i="5"/>
  <c r="B1075" i="5"/>
  <c r="I1074" i="5"/>
  <c r="H1074" i="5"/>
  <c r="G1074" i="5"/>
  <c r="F1074" i="5"/>
  <c r="E1074" i="5"/>
  <c r="D1074" i="5"/>
  <c r="C1074" i="5"/>
  <c r="B1074" i="5"/>
  <c r="I1073" i="5"/>
  <c r="H1073" i="5"/>
  <c r="G1073" i="5"/>
  <c r="F1073" i="5"/>
  <c r="E1073" i="5"/>
  <c r="D1073" i="5"/>
  <c r="C1073" i="5"/>
  <c r="B1073" i="5"/>
  <c r="I1072" i="5"/>
  <c r="H1072" i="5"/>
  <c r="G1072" i="5"/>
  <c r="F1072" i="5"/>
  <c r="E1072" i="5"/>
  <c r="D1072" i="5"/>
  <c r="C1072" i="5"/>
  <c r="B1072" i="5"/>
  <c r="I1071" i="5"/>
  <c r="H1071" i="5"/>
  <c r="G1071" i="5"/>
  <c r="F1071" i="5"/>
  <c r="E1071" i="5"/>
  <c r="D1071" i="5"/>
  <c r="C1071" i="5"/>
  <c r="B1071" i="5"/>
  <c r="I1070" i="5"/>
  <c r="H1070" i="5"/>
  <c r="G1070" i="5"/>
  <c r="F1070" i="5"/>
  <c r="E1070" i="5"/>
  <c r="D1070" i="5"/>
  <c r="C1070" i="5"/>
  <c r="B1070" i="5"/>
  <c r="I1069" i="5"/>
  <c r="H1069" i="5"/>
  <c r="G1069" i="5"/>
  <c r="F1069" i="5"/>
  <c r="E1069" i="5"/>
  <c r="D1069" i="5"/>
  <c r="C1069" i="5"/>
  <c r="B1069" i="5"/>
  <c r="I1068" i="5"/>
  <c r="H1068" i="5"/>
  <c r="G1068" i="5"/>
  <c r="F1068" i="5"/>
  <c r="E1068" i="5"/>
  <c r="D1068" i="5"/>
  <c r="C1068" i="5"/>
  <c r="B1068" i="5"/>
  <c r="I1067" i="5"/>
  <c r="H1067" i="5"/>
  <c r="G1067" i="5"/>
  <c r="F1067" i="5"/>
  <c r="E1067" i="5"/>
  <c r="D1067" i="5"/>
  <c r="C1067" i="5"/>
  <c r="B1067" i="5"/>
  <c r="I1066" i="5"/>
  <c r="H1066" i="5"/>
  <c r="G1066" i="5"/>
  <c r="F1066" i="5"/>
  <c r="E1066" i="5"/>
  <c r="D1066" i="5"/>
  <c r="C1066" i="5"/>
  <c r="B1066" i="5"/>
  <c r="I1065" i="5"/>
  <c r="H1065" i="5"/>
  <c r="G1065" i="5"/>
  <c r="F1065" i="5"/>
  <c r="E1065" i="5"/>
  <c r="D1065" i="5"/>
  <c r="C1065" i="5"/>
  <c r="B1065" i="5"/>
  <c r="I1064" i="5"/>
  <c r="H1064" i="5"/>
  <c r="G1064" i="5"/>
  <c r="F1064" i="5"/>
  <c r="E1064" i="5"/>
  <c r="D1064" i="5"/>
  <c r="C1064" i="5"/>
  <c r="B1064" i="5"/>
  <c r="I1063" i="5"/>
  <c r="H1063" i="5"/>
  <c r="G1063" i="5"/>
  <c r="F1063" i="5"/>
  <c r="E1063" i="5"/>
  <c r="D1063" i="5"/>
  <c r="C1063" i="5"/>
  <c r="B1063" i="5"/>
  <c r="I1062" i="5"/>
  <c r="H1062" i="5"/>
  <c r="G1062" i="5"/>
  <c r="F1062" i="5"/>
  <c r="E1062" i="5"/>
  <c r="D1062" i="5"/>
  <c r="C1062" i="5"/>
  <c r="B1062" i="5"/>
  <c r="I1061" i="5"/>
  <c r="H1061" i="5"/>
  <c r="G1061" i="5"/>
  <c r="F1061" i="5"/>
  <c r="E1061" i="5"/>
  <c r="D1061" i="5"/>
  <c r="C1061" i="5"/>
  <c r="B1061" i="5"/>
  <c r="I1060" i="5"/>
  <c r="H1060" i="5"/>
  <c r="G1060" i="5"/>
  <c r="F1060" i="5"/>
  <c r="E1060" i="5"/>
  <c r="D1060" i="5"/>
  <c r="C1060" i="5"/>
  <c r="B1060" i="5"/>
  <c r="I1059" i="5"/>
  <c r="H1059" i="5"/>
  <c r="G1059" i="5"/>
  <c r="F1059" i="5"/>
  <c r="E1059" i="5"/>
  <c r="D1059" i="5"/>
  <c r="C1059" i="5"/>
  <c r="B1059" i="5"/>
  <c r="I1058" i="5"/>
  <c r="H1058" i="5"/>
  <c r="G1058" i="5"/>
  <c r="F1058" i="5"/>
  <c r="E1058" i="5"/>
  <c r="D1058" i="5"/>
  <c r="C1058" i="5"/>
  <c r="B1058" i="5"/>
  <c r="I1057" i="5"/>
  <c r="H1057" i="5"/>
  <c r="G1057" i="5"/>
  <c r="F1057" i="5"/>
  <c r="E1057" i="5"/>
  <c r="D1057" i="5"/>
  <c r="C1057" i="5"/>
  <c r="B1057" i="5"/>
  <c r="I1056" i="5"/>
  <c r="H1056" i="5"/>
  <c r="G1056" i="5"/>
  <c r="F1056" i="5"/>
  <c r="E1056" i="5"/>
  <c r="D1056" i="5"/>
  <c r="C1056" i="5"/>
  <c r="B1056" i="5"/>
  <c r="I1055" i="5"/>
  <c r="H1055" i="5"/>
  <c r="G1055" i="5"/>
  <c r="F1055" i="5"/>
  <c r="E1055" i="5"/>
  <c r="D1055" i="5"/>
  <c r="C1055" i="5"/>
  <c r="B1055" i="5"/>
  <c r="I1054" i="5"/>
  <c r="H1054" i="5"/>
  <c r="G1054" i="5"/>
  <c r="F1054" i="5"/>
  <c r="E1054" i="5"/>
  <c r="D1054" i="5"/>
  <c r="C1054" i="5"/>
  <c r="B1054" i="5"/>
  <c r="I1053" i="5"/>
  <c r="H1053" i="5"/>
  <c r="G1053" i="5"/>
  <c r="F1053" i="5"/>
  <c r="E1053" i="5"/>
  <c r="D1053" i="5"/>
  <c r="C1053" i="5"/>
  <c r="B1053" i="5"/>
  <c r="I1052" i="5"/>
  <c r="H1052" i="5"/>
  <c r="G1052" i="5"/>
  <c r="F1052" i="5"/>
  <c r="E1052" i="5"/>
  <c r="D1052" i="5"/>
  <c r="C1052" i="5"/>
  <c r="B1052" i="5"/>
  <c r="I1051" i="5"/>
  <c r="H1051" i="5"/>
  <c r="G1051" i="5"/>
  <c r="F1051" i="5"/>
  <c r="E1051" i="5"/>
  <c r="D1051" i="5"/>
  <c r="C1051" i="5"/>
  <c r="B1051" i="5"/>
  <c r="I1050" i="5"/>
  <c r="H1050" i="5"/>
  <c r="G1050" i="5"/>
  <c r="F1050" i="5"/>
  <c r="E1050" i="5"/>
  <c r="D1050" i="5"/>
  <c r="C1050" i="5"/>
  <c r="B1050" i="5"/>
  <c r="I1049" i="5"/>
  <c r="H1049" i="5"/>
  <c r="G1049" i="5"/>
  <c r="F1049" i="5"/>
  <c r="E1049" i="5"/>
  <c r="D1049" i="5"/>
  <c r="C1049" i="5"/>
  <c r="B1049" i="5"/>
  <c r="I1048" i="5"/>
  <c r="H1048" i="5"/>
  <c r="G1048" i="5"/>
  <c r="F1048" i="5"/>
  <c r="E1048" i="5"/>
  <c r="D1048" i="5"/>
  <c r="C1048" i="5"/>
  <c r="B1048" i="5"/>
  <c r="I1047" i="5"/>
  <c r="H1047" i="5"/>
  <c r="G1047" i="5"/>
  <c r="F1047" i="5"/>
  <c r="E1047" i="5"/>
  <c r="D1047" i="5"/>
  <c r="C1047" i="5"/>
  <c r="B1047" i="5"/>
  <c r="I1046" i="5"/>
  <c r="H1046" i="5"/>
  <c r="G1046" i="5"/>
  <c r="F1046" i="5"/>
  <c r="E1046" i="5"/>
  <c r="D1046" i="5"/>
  <c r="C1046" i="5"/>
  <c r="B1046" i="5"/>
  <c r="I1045" i="5"/>
  <c r="H1045" i="5"/>
  <c r="G1045" i="5"/>
  <c r="F1045" i="5"/>
  <c r="E1045" i="5"/>
  <c r="D1045" i="5"/>
  <c r="C1045" i="5"/>
  <c r="B1045" i="5"/>
  <c r="I1044" i="5"/>
  <c r="H1044" i="5"/>
  <c r="G1044" i="5"/>
  <c r="F1044" i="5"/>
  <c r="E1044" i="5"/>
  <c r="D1044" i="5"/>
  <c r="C1044" i="5"/>
  <c r="B1044" i="5"/>
  <c r="I1043" i="5"/>
  <c r="H1043" i="5"/>
  <c r="G1043" i="5"/>
  <c r="F1043" i="5"/>
  <c r="E1043" i="5"/>
  <c r="D1043" i="5"/>
  <c r="C1043" i="5"/>
  <c r="B1043" i="5"/>
  <c r="I1042" i="5"/>
  <c r="H1042" i="5"/>
  <c r="G1042" i="5"/>
  <c r="F1042" i="5"/>
  <c r="E1042" i="5"/>
  <c r="D1042" i="5"/>
  <c r="C1042" i="5"/>
  <c r="B1042" i="5"/>
  <c r="I1041" i="5"/>
  <c r="H1041" i="5"/>
  <c r="G1041" i="5"/>
  <c r="F1041" i="5"/>
  <c r="E1041" i="5"/>
  <c r="D1041" i="5"/>
  <c r="C1041" i="5"/>
  <c r="B1041" i="5"/>
  <c r="I1040" i="5"/>
  <c r="H1040" i="5"/>
  <c r="G1040" i="5"/>
  <c r="F1040" i="5"/>
  <c r="E1040" i="5"/>
  <c r="D1040" i="5"/>
  <c r="C1040" i="5"/>
  <c r="B1040" i="5"/>
  <c r="I1039" i="5"/>
  <c r="H1039" i="5"/>
  <c r="G1039" i="5"/>
  <c r="F1039" i="5"/>
  <c r="E1039" i="5"/>
  <c r="D1039" i="5"/>
  <c r="C1039" i="5"/>
  <c r="B1039" i="5"/>
  <c r="I1038" i="5"/>
  <c r="H1038" i="5"/>
  <c r="G1038" i="5"/>
  <c r="F1038" i="5"/>
  <c r="E1038" i="5"/>
  <c r="D1038" i="5"/>
  <c r="C1038" i="5"/>
  <c r="B1038" i="5"/>
  <c r="I1037" i="5"/>
  <c r="H1037" i="5"/>
  <c r="G1037" i="5"/>
  <c r="F1037" i="5"/>
  <c r="E1037" i="5"/>
  <c r="D1037" i="5"/>
  <c r="C1037" i="5"/>
  <c r="B1037" i="5"/>
  <c r="I1036" i="5"/>
  <c r="H1036" i="5"/>
  <c r="G1036" i="5"/>
  <c r="F1036" i="5"/>
  <c r="E1036" i="5"/>
  <c r="D1036" i="5"/>
  <c r="C1036" i="5"/>
  <c r="B1036" i="5"/>
  <c r="I1035" i="5"/>
  <c r="H1035" i="5"/>
  <c r="G1035" i="5"/>
  <c r="F1035" i="5"/>
  <c r="E1035" i="5"/>
  <c r="D1035" i="5"/>
  <c r="C1035" i="5"/>
  <c r="B1035" i="5"/>
  <c r="I1034" i="5"/>
  <c r="H1034" i="5"/>
  <c r="G1034" i="5"/>
  <c r="F1034" i="5"/>
  <c r="E1034" i="5"/>
  <c r="D1034" i="5"/>
  <c r="C1034" i="5"/>
  <c r="B1034" i="5"/>
  <c r="I1033" i="5"/>
  <c r="H1033" i="5"/>
  <c r="G1033" i="5"/>
  <c r="F1033" i="5"/>
  <c r="E1033" i="5"/>
  <c r="D1033" i="5"/>
  <c r="C1033" i="5"/>
  <c r="B1033" i="5"/>
  <c r="I1032" i="5"/>
  <c r="H1032" i="5"/>
  <c r="G1032" i="5"/>
  <c r="F1032" i="5"/>
  <c r="E1032" i="5"/>
  <c r="D1032" i="5"/>
  <c r="C1032" i="5"/>
  <c r="B1032" i="5"/>
  <c r="I1031" i="5"/>
  <c r="H1031" i="5"/>
  <c r="G1031" i="5"/>
  <c r="F1031" i="5"/>
  <c r="E1031" i="5"/>
  <c r="D1031" i="5"/>
  <c r="C1031" i="5"/>
  <c r="B1031" i="5"/>
  <c r="I1030" i="5"/>
  <c r="H1030" i="5"/>
  <c r="G1030" i="5"/>
  <c r="F1030" i="5"/>
  <c r="E1030" i="5"/>
  <c r="D1030" i="5"/>
  <c r="C1030" i="5"/>
  <c r="B1030" i="5"/>
  <c r="I1029" i="5"/>
  <c r="H1029" i="5"/>
  <c r="G1029" i="5"/>
  <c r="F1029" i="5"/>
  <c r="E1029" i="5"/>
  <c r="D1029" i="5"/>
  <c r="C1029" i="5"/>
  <c r="B1029" i="5"/>
  <c r="I1028" i="5"/>
  <c r="H1028" i="5"/>
  <c r="G1028" i="5"/>
  <c r="F1028" i="5"/>
  <c r="E1028" i="5"/>
  <c r="D1028" i="5"/>
  <c r="C1028" i="5"/>
  <c r="B1028" i="5"/>
  <c r="I1027" i="5"/>
  <c r="H1027" i="5"/>
  <c r="G1027" i="5"/>
  <c r="F1027" i="5"/>
  <c r="E1027" i="5"/>
  <c r="D1027" i="5"/>
  <c r="C1027" i="5"/>
  <c r="B1027" i="5"/>
  <c r="I1026" i="5"/>
  <c r="H1026" i="5"/>
  <c r="G1026" i="5"/>
  <c r="F1026" i="5"/>
  <c r="E1026" i="5"/>
  <c r="D1026" i="5"/>
  <c r="C1026" i="5"/>
  <c r="B1026" i="5"/>
  <c r="I1025" i="5"/>
  <c r="H1025" i="5"/>
  <c r="G1025" i="5"/>
  <c r="F1025" i="5"/>
  <c r="E1025" i="5"/>
  <c r="D1025" i="5"/>
  <c r="C1025" i="5"/>
  <c r="B1025" i="5"/>
  <c r="I1024" i="5"/>
  <c r="H1024" i="5"/>
  <c r="G1024" i="5"/>
  <c r="F1024" i="5"/>
  <c r="E1024" i="5"/>
  <c r="D1024" i="5"/>
  <c r="C1024" i="5"/>
  <c r="B1024" i="5"/>
  <c r="I1023" i="5"/>
  <c r="H1023" i="5"/>
  <c r="G1023" i="5"/>
  <c r="F1023" i="5"/>
  <c r="E1023" i="5"/>
  <c r="D1023" i="5"/>
  <c r="C1023" i="5"/>
  <c r="B1023" i="5"/>
  <c r="I1022" i="5"/>
  <c r="H1022" i="5"/>
  <c r="G1022" i="5"/>
  <c r="F1022" i="5"/>
  <c r="E1022" i="5"/>
  <c r="D1022" i="5"/>
  <c r="C1022" i="5"/>
  <c r="B1022" i="5"/>
  <c r="I1021" i="5"/>
  <c r="H1021" i="5"/>
  <c r="G1021" i="5"/>
  <c r="F1021" i="5"/>
  <c r="E1021" i="5"/>
  <c r="D1021" i="5"/>
  <c r="C1021" i="5"/>
  <c r="B1021" i="5"/>
  <c r="I1020" i="5"/>
  <c r="H1020" i="5"/>
  <c r="G1020" i="5"/>
  <c r="F1020" i="5"/>
  <c r="E1020" i="5"/>
  <c r="D1020" i="5"/>
  <c r="C1020" i="5"/>
  <c r="B1020" i="5"/>
  <c r="I1019" i="5"/>
  <c r="H1019" i="5"/>
  <c r="G1019" i="5"/>
  <c r="F1019" i="5"/>
  <c r="E1019" i="5"/>
  <c r="D1019" i="5"/>
  <c r="C1019" i="5"/>
  <c r="B1019" i="5"/>
  <c r="I1018" i="5"/>
  <c r="H1018" i="5"/>
  <c r="G1018" i="5"/>
  <c r="F1018" i="5"/>
  <c r="E1018" i="5"/>
  <c r="D1018" i="5"/>
  <c r="C1018" i="5"/>
  <c r="B1018" i="5"/>
  <c r="I1017" i="5"/>
  <c r="H1017" i="5"/>
  <c r="G1017" i="5"/>
  <c r="F1017" i="5"/>
  <c r="E1017" i="5"/>
  <c r="D1017" i="5"/>
  <c r="C1017" i="5"/>
  <c r="B1017" i="5"/>
  <c r="I1016" i="5"/>
  <c r="H1016" i="5"/>
  <c r="G1016" i="5"/>
  <c r="F1016" i="5"/>
  <c r="E1016" i="5"/>
  <c r="D1016" i="5"/>
  <c r="C1016" i="5"/>
  <c r="B1016" i="5"/>
  <c r="I1015" i="5"/>
  <c r="H1015" i="5"/>
  <c r="G1015" i="5"/>
  <c r="F1015" i="5"/>
  <c r="E1015" i="5"/>
  <c r="D1015" i="5"/>
  <c r="C1015" i="5"/>
  <c r="B1015" i="5"/>
  <c r="I1014" i="5"/>
  <c r="H1014" i="5"/>
  <c r="G1014" i="5"/>
  <c r="F1014" i="5"/>
  <c r="E1014" i="5"/>
  <c r="D1014" i="5"/>
  <c r="C1014" i="5"/>
  <c r="B1014" i="5"/>
  <c r="I1013" i="5"/>
  <c r="H1013" i="5"/>
  <c r="G1013" i="5"/>
  <c r="F1013" i="5"/>
  <c r="E1013" i="5"/>
  <c r="D1013" i="5"/>
  <c r="C1013" i="5"/>
  <c r="B1013" i="5"/>
  <c r="I1012" i="5"/>
  <c r="H1012" i="5"/>
  <c r="G1012" i="5"/>
  <c r="F1012" i="5"/>
  <c r="E1012" i="5"/>
  <c r="D1012" i="5"/>
  <c r="C1012" i="5"/>
  <c r="B1012" i="5"/>
  <c r="I1011" i="5"/>
  <c r="H1011" i="5"/>
  <c r="G1011" i="5"/>
  <c r="F1011" i="5"/>
  <c r="E1011" i="5"/>
  <c r="D1011" i="5"/>
  <c r="C1011" i="5"/>
  <c r="B1011" i="5"/>
  <c r="I1010" i="5"/>
  <c r="H1010" i="5"/>
  <c r="G1010" i="5"/>
  <c r="F1010" i="5"/>
  <c r="E1010" i="5"/>
  <c r="D1010" i="5"/>
  <c r="C1010" i="5"/>
  <c r="B1010" i="5"/>
  <c r="I1009" i="5"/>
  <c r="H1009" i="5"/>
  <c r="G1009" i="5"/>
  <c r="F1009" i="5"/>
  <c r="E1009" i="5"/>
  <c r="D1009" i="5"/>
  <c r="C1009" i="5"/>
  <c r="B1009" i="5"/>
  <c r="I1008" i="5"/>
  <c r="H1008" i="5"/>
  <c r="G1008" i="5"/>
  <c r="F1008" i="5"/>
  <c r="E1008" i="5"/>
  <c r="D1008" i="5"/>
  <c r="C1008" i="5"/>
  <c r="B1008" i="5"/>
  <c r="I1007" i="5"/>
  <c r="H1007" i="5"/>
  <c r="G1007" i="5"/>
  <c r="F1007" i="5"/>
  <c r="E1007" i="5"/>
  <c r="D1007" i="5"/>
  <c r="C1007" i="5"/>
  <c r="B1007" i="5"/>
  <c r="I1006" i="5"/>
  <c r="H1006" i="5"/>
  <c r="G1006" i="5"/>
  <c r="F1006" i="5"/>
  <c r="E1006" i="5"/>
  <c r="D1006" i="5"/>
  <c r="C1006" i="5"/>
  <c r="B1006" i="5"/>
  <c r="I1005" i="5"/>
  <c r="H1005" i="5"/>
  <c r="G1005" i="5"/>
  <c r="F1005" i="5"/>
  <c r="E1005" i="5"/>
  <c r="D1005" i="5"/>
  <c r="C1005" i="5"/>
  <c r="B1005" i="5"/>
  <c r="I1004" i="5"/>
  <c r="H1004" i="5"/>
  <c r="G1004" i="5"/>
  <c r="F1004" i="5"/>
  <c r="E1004" i="5"/>
  <c r="D1004" i="5"/>
  <c r="C1004" i="5"/>
  <c r="B1004" i="5"/>
  <c r="I1003" i="5"/>
  <c r="H1003" i="5"/>
  <c r="G1003" i="5"/>
  <c r="F1003" i="5"/>
  <c r="E1003" i="5"/>
  <c r="D1003" i="5"/>
  <c r="C1003" i="5"/>
  <c r="B1003" i="5"/>
  <c r="I1002" i="5"/>
  <c r="H1002" i="5"/>
  <c r="G1002" i="5"/>
  <c r="F1002" i="5"/>
  <c r="E1002" i="5"/>
  <c r="D1002" i="5"/>
  <c r="C1002" i="5"/>
  <c r="B1002" i="5"/>
  <c r="I1001" i="5"/>
  <c r="H1001" i="5"/>
  <c r="G1001" i="5"/>
  <c r="F1001" i="5"/>
  <c r="E1001" i="5"/>
  <c r="D1001" i="5"/>
  <c r="C1001" i="5"/>
  <c r="B1001" i="5"/>
  <c r="I1000" i="5"/>
  <c r="H1000" i="5"/>
  <c r="G1000" i="5"/>
  <c r="F1000" i="5"/>
  <c r="E1000" i="5"/>
  <c r="D1000" i="5"/>
  <c r="C1000" i="5"/>
  <c r="B1000" i="5"/>
  <c r="I999" i="5"/>
  <c r="H999" i="5"/>
  <c r="G999" i="5"/>
  <c r="F999" i="5"/>
  <c r="E999" i="5"/>
  <c r="D999" i="5"/>
  <c r="C999" i="5"/>
  <c r="B999" i="5"/>
  <c r="I998" i="5"/>
  <c r="H998" i="5"/>
  <c r="G998" i="5"/>
  <c r="F998" i="5"/>
  <c r="E998" i="5"/>
  <c r="D998" i="5"/>
  <c r="C998" i="5"/>
  <c r="B998" i="5"/>
  <c r="I997" i="5"/>
  <c r="H997" i="5"/>
  <c r="G997" i="5"/>
  <c r="F997" i="5"/>
  <c r="E997" i="5"/>
  <c r="D997" i="5"/>
  <c r="C997" i="5"/>
  <c r="B997" i="5"/>
  <c r="I996" i="5"/>
  <c r="H996" i="5"/>
  <c r="G996" i="5"/>
  <c r="F996" i="5"/>
  <c r="E996" i="5"/>
  <c r="D996" i="5"/>
  <c r="C996" i="5"/>
  <c r="B996" i="5"/>
  <c r="I995" i="5"/>
  <c r="H995" i="5"/>
  <c r="G995" i="5"/>
  <c r="F995" i="5"/>
  <c r="E995" i="5"/>
  <c r="D995" i="5"/>
  <c r="C995" i="5"/>
  <c r="B995" i="5"/>
  <c r="I994" i="5"/>
  <c r="H994" i="5"/>
  <c r="G994" i="5"/>
  <c r="F994" i="5"/>
  <c r="E994" i="5"/>
  <c r="D994" i="5"/>
  <c r="C994" i="5"/>
  <c r="B994" i="5"/>
  <c r="I993" i="5"/>
  <c r="H993" i="5"/>
  <c r="G993" i="5"/>
  <c r="F993" i="5"/>
  <c r="E993" i="5"/>
  <c r="D993" i="5"/>
  <c r="C993" i="5"/>
  <c r="B993" i="5"/>
  <c r="I992" i="5"/>
  <c r="H992" i="5"/>
  <c r="G992" i="5"/>
  <c r="F992" i="5"/>
  <c r="E992" i="5"/>
  <c r="D992" i="5"/>
  <c r="C992" i="5"/>
  <c r="B992" i="5"/>
  <c r="I991" i="5"/>
  <c r="H991" i="5"/>
  <c r="G991" i="5"/>
  <c r="F991" i="5"/>
  <c r="E991" i="5"/>
  <c r="D991" i="5"/>
  <c r="C991" i="5"/>
  <c r="B991" i="5"/>
  <c r="I990" i="5"/>
  <c r="H990" i="5"/>
  <c r="G990" i="5"/>
  <c r="F990" i="5"/>
  <c r="E990" i="5"/>
  <c r="D990" i="5"/>
  <c r="C990" i="5"/>
  <c r="B990" i="5"/>
  <c r="I989" i="5"/>
  <c r="H989" i="5"/>
  <c r="G989" i="5"/>
  <c r="F989" i="5"/>
  <c r="E989" i="5"/>
  <c r="D989" i="5"/>
  <c r="C989" i="5"/>
  <c r="B989" i="5"/>
  <c r="I988" i="5"/>
  <c r="H988" i="5"/>
  <c r="G988" i="5"/>
  <c r="F988" i="5"/>
  <c r="E988" i="5"/>
  <c r="D988" i="5"/>
  <c r="C988" i="5"/>
  <c r="B988" i="5"/>
  <c r="I987" i="5"/>
  <c r="H987" i="5"/>
  <c r="G987" i="5"/>
  <c r="F987" i="5"/>
  <c r="E987" i="5"/>
  <c r="D987" i="5"/>
  <c r="C987" i="5"/>
  <c r="B987" i="5"/>
  <c r="I986" i="5"/>
  <c r="H986" i="5"/>
  <c r="G986" i="5"/>
  <c r="F986" i="5"/>
  <c r="E986" i="5"/>
  <c r="D986" i="5"/>
  <c r="C986" i="5"/>
  <c r="B986" i="5"/>
  <c r="I985" i="5"/>
  <c r="H985" i="5"/>
  <c r="G985" i="5"/>
  <c r="F985" i="5"/>
  <c r="E985" i="5"/>
  <c r="D985" i="5"/>
  <c r="C985" i="5"/>
  <c r="B985" i="5"/>
  <c r="I984" i="5"/>
  <c r="H984" i="5"/>
  <c r="G984" i="5"/>
  <c r="F984" i="5"/>
  <c r="E984" i="5"/>
  <c r="D984" i="5"/>
  <c r="C984" i="5"/>
  <c r="B984" i="5"/>
  <c r="I983" i="5"/>
  <c r="H983" i="5"/>
  <c r="G983" i="5"/>
  <c r="F983" i="5"/>
  <c r="E983" i="5"/>
  <c r="D983" i="5"/>
  <c r="C983" i="5"/>
  <c r="B983" i="5"/>
  <c r="I982" i="5"/>
  <c r="H982" i="5"/>
  <c r="G982" i="5"/>
  <c r="F982" i="5"/>
  <c r="E982" i="5"/>
  <c r="D982" i="5"/>
  <c r="C982" i="5"/>
  <c r="B982" i="5"/>
  <c r="I981" i="5"/>
  <c r="H981" i="5"/>
  <c r="G981" i="5"/>
  <c r="F981" i="5"/>
  <c r="E981" i="5"/>
  <c r="D981" i="5"/>
  <c r="C981" i="5"/>
  <c r="B981" i="5"/>
  <c r="I980" i="5"/>
  <c r="H980" i="5"/>
  <c r="G980" i="5"/>
  <c r="F980" i="5"/>
  <c r="E980" i="5"/>
  <c r="D980" i="5"/>
  <c r="C980" i="5"/>
  <c r="B980" i="5"/>
  <c r="I979" i="5"/>
  <c r="H979" i="5"/>
  <c r="G979" i="5"/>
  <c r="F979" i="5"/>
  <c r="E979" i="5"/>
  <c r="D979" i="5"/>
  <c r="C979" i="5"/>
  <c r="B979" i="5"/>
  <c r="I978" i="5"/>
  <c r="H978" i="5"/>
  <c r="G978" i="5"/>
  <c r="F978" i="5"/>
  <c r="E978" i="5"/>
  <c r="D978" i="5"/>
  <c r="C978" i="5"/>
  <c r="B978" i="5"/>
  <c r="I977" i="5"/>
  <c r="H977" i="5"/>
  <c r="G977" i="5"/>
  <c r="F977" i="5"/>
  <c r="E977" i="5"/>
  <c r="D977" i="5"/>
  <c r="C977" i="5"/>
  <c r="B977" i="5"/>
  <c r="I976" i="5"/>
  <c r="H976" i="5"/>
  <c r="G976" i="5"/>
  <c r="F976" i="5"/>
  <c r="E976" i="5"/>
  <c r="D976" i="5"/>
  <c r="C976" i="5"/>
  <c r="B976" i="5"/>
  <c r="I975" i="5"/>
  <c r="H975" i="5"/>
  <c r="G975" i="5"/>
  <c r="F975" i="5"/>
  <c r="E975" i="5"/>
  <c r="D975" i="5"/>
  <c r="C975" i="5"/>
  <c r="B975" i="5"/>
  <c r="I974" i="5"/>
  <c r="H974" i="5"/>
  <c r="G974" i="5"/>
  <c r="F974" i="5"/>
  <c r="E974" i="5"/>
  <c r="D974" i="5"/>
  <c r="C974" i="5"/>
  <c r="B974" i="5"/>
  <c r="I973" i="5"/>
  <c r="H973" i="5"/>
  <c r="G973" i="5"/>
  <c r="F973" i="5"/>
  <c r="E973" i="5"/>
  <c r="D973" i="5"/>
  <c r="C973" i="5"/>
  <c r="B973" i="5"/>
  <c r="I972" i="5"/>
  <c r="H972" i="5"/>
  <c r="G972" i="5"/>
  <c r="F972" i="5"/>
  <c r="E972" i="5"/>
  <c r="D972" i="5"/>
  <c r="C972" i="5"/>
  <c r="B972" i="5"/>
  <c r="I971" i="5"/>
  <c r="H971" i="5"/>
  <c r="G971" i="5"/>
  <c r="F971" i="5"/>
  <c r="E971" i="5"/>
  <c r="D971" i="5"/>
  <c r="C971" i="5"/>
  <c r="B971" i="5"/>
  <c r="I970" i="5"/>
  <c r="H970" i="5"/>
  <c r="G970" i="5"/>
  <c r="F970" i="5"/>
  <c r="E970" i="5"/>
  <c r="D970" i="5"/>
  <c r="C970" i="5"/>
  <c r="B970" i="5"/>
  <c r="I969" i="5"/>
  <c r="H969" i="5"/>
  <c r="G969" i="5"/>
  <c r="F969" i="5"/>
  <c r="E969" i="5"/>
  <c r="D969" i="5"/>
  <c r="C969" i="5"/>
  <c r="B969" i="5"/>
  <c r="I968" i="5"/>
  <c r="H968" i="5"/>
  <c r="G968" i="5"/>
  <c r="F968" i="5"/>
  <c r="E968" i="5"/>
  <c r="D968" i="5"/>
  <c r="C968" i="5"/>
  <c r="B968" i="5"/>
  <c r="I967" i="5"/>
  <c r="H967" i="5"/>
  <c r="G967" i="5"/>
  <c r="F967" i="5"/>
  <c r="E967" i="5"/>
  <c r="D967" i="5"/>
  <c r="C967" i="5"/>
  <c r="B967" i="5"/>
  <c r="I966" i="5"/>
  <c r="H966" i="5"/>
  <c r="G966" i="5"/>
  <c r="F966" i="5"/>
  <c r="E966" i="5"/>
  <c r="D966" i="5"/>
  <c r="C966" i="5"/>
  <c r="B966" i="5"/>
  <c r="I965" i="5"/>
  <c r="H965" i="5"/>
  <c r="G965" i="5"/>
  <c r="F965" i="5"/>
  <c r="E965" i="5"/>
  <c r="D965" i="5"/>
  <c r="C965" i="5"/>
  <c r="B965" i="5"/>
  <c r="I964" i="5"/>
  <c r="H964" i="5"/>
  <c r="G964" i="5"/>
  <c r="F964" i="5"/>
  <c r="E964" i="5"/>
  <c r="D964" i="5"/>
  <c r="C964" i="5"/>
  <c r="B964" i="5"/>
  <c r="I963" i="5"/>
  <c r="H963" i="5"/>
  <c r="G963" i="5"/>
  <c r="F963" i="5"/>
  <c r="E963" i="5"/>
  <c r="D963" i="5"/>
  <c r="C963" i="5"/>
  <c r="B963" i="5"/>
  <c r="I962" i="5"/>
  <c r="H962" i="5"/>
  <c r="G962" i="5"/>
  <c r="F962" i="5"/>
  <c r="E962" i="5"/>
  <c r="D962" i="5"/>
  <c r="C962" i="5"/>
  <c r="B962" i="5"/>
  <c r="I961" i="5"/>
  <c r="H961" i="5"/>
  <c r="G961" i="5"/>
  <c r="F961" i="5"/>
  <c r="E961" i="5"/>
  <c r="D961" i="5"/>
  <c r="C961" i="5"/>
  <c r="B961" i="5"/>
  <c r="I960" i="5"/>
  <c r="H960" i="5"/>
  <c r="G960" i="5"/>
  <c r="F960" i="5"/>
  <c r="E960" i="5"/>
  <c r="D960" i="5"/>
  <c r="C960" i="5"/>
  <c r="B960" i="5"/>
  <c r="I959" i="5"/>
  <c r="H959" i="5"/>
  <c r="G959" i="5"/>
  <c r="F959" i="5"/>
  <c r="E959" i="5"/>
  <c r="D959" i="5"/>
  <c r="C959" i="5"/>
  <c r="B959" i="5"/>
  <c r="I958" i="5"/>
  <c r="H958" i="5"/>
  <c r="G958" i="5"/>
  <c r="F958" i="5"/>
  <c r="E958" i="5"/>
  <c r="D958" i="5"/>
  <c r="C958" i="5"/>
  <c r="B958" i="5"/>
  <c r="I957" i="5"/>
  <c r="H957" i="5"/>
  <c r="G957" i="5"/>
  <c r="F957" i="5"/>
  <c r="E957" i="5"/>
  <c r="D957" i="5"/>
  <c r="C957" i="5"/>
  <c r="B957" i="5"/>
  <c r="I956" i="5"/>
  <c r="H956" i="5"/>
  <c r="G956" i="5"/>
  <c r="F956" i="5"/>
  <c r="E956" i="5"/>
  <c r="D956" i="5"/>
  <c r="C956" i="5"/>
  <c r="B956" i="5"/>
  <c r="I955" i="5"/>
  <c r="H955" i="5"/>
  <c r="G955" i="5"/>
  <c r="F955" i="5"/>
  <c r="E955" i="5"/>
  <c r="D955" i="5"/>
  <c r="C955" i="5"/>
  <c r="B955" i="5"/>
  <c r="I954" i="5"/>
  <c r="H954" i="5"/>
  <c r="G954" i="5"/>
  <c r="F954" i="5"/>
  <c r="E954" i="5"/>
  <c r="D954" i="5"/>
  <c r="C954" i="5"/>
  <c r="B954" i="5"/>
  <c r="I953" i="5"/>
  <c r="H953" i="5"/>
  <c r="G953" i="5"/>
  <c r="F953" i="5"/>
  <c r="E953" i="5"/>
  <c r="D953" i="5"/>
  <c r="C953" i="5"/>
  <c r="B953" i="5"/>
  <c r="I952" i="5"/>
  <c r="H952" i="5"/>
  <c r="G952" i="5"/>
  <c r="F952" i="5"/>
  <c r="E952" i="5"/>
  <c r="D952" i="5"/>
  <c r="C952" i="5"/>
  <c r="B952" i="5"/>
  <c r="I951" i="5"/>
  <c r="H951" i="5"/>
  <c r="G951" i="5"/>
  <c r="F951" i="5"/>
  <c r="E951" i="5"/>
  <c r="D951" i="5"/>
  <c r="C951" i="5"/>
  <c r="B951" i="5"/>
  <c r="I950" i="5"/>
  <c r="H950" i="5"/>
  <c r="G950" i="5"/>
  <c r="F950" i="5"/>
  <c r="E950" i="5"/>
  <c r="D950" i="5"/>
  <c r="C950" i="5"/>
  <c r="B950" i="5"/>
  <c r="I949" i="5"/>
  <c r="H949" i="5"/>
  <c r="G949" i="5"/>
  <c r="F949" i="5"/>
  <c r="E949" i="5"/>
  <c r="D949" i="5"/>
  <c r="C949" i="5"/>
  <c r="B949" i="5"/>
  <c r="I948" i="5"/>
  <c r="H948" i="5"/>
  <c r="G948" i="5"/>
  <c r="F948" i="5"/>
  <c r="E948" i="5"/>
  <c r="D948" i="5"/>
  <c r="C948" i="5"/>
  <c r="B948" i="5"/>
  <c r="I947" i="5"/>
  <c r="H947" i="5"/>
  <c r="G947" i="5"/>
  <c r="F947" i="5"/>
  <c r="E947" i="5"/>
  <c r="D947" i="5"/>
  <c r="C947" i="5"/>
  <c r="B947" i="5"/>
  <c r="I946" i="5"/>
  <c r="H946" i="5"/>
  <c r="G946" i="5"/>
  <c r="F946" i="5"/>
  <c r="E946" i="5"/>
  <c r="D946" i="5"/>
  <c r="C946" i="5"/>
  <c r="B946" i="5"/>
  <c r="I945" i="5"/>
  <c r="H945" i="5"/>
  <c r="G945" i="5"/>
  <c r="F945" i="5"/>
  <c r="E945" i="5"/>
  <c r="D945" i="5"/>
  <c r="C945" i="5"/>
  <c r="B945" i="5"/>
  <c r="I944" i="5"/>
  <c r="H944" i="5"/>
  <c r="G944" i="5"/>
  <c r="F944" i="5"/>
  <c r="E944" i="5"/>
  <c r="D944" i="5"/>
  <c r="C944" i="5"/>
  <c r="B944" i="5"/>
  <c r="I943" i="5"/>
  <c r="H943" i="5"/>
  <c r="G943" i="5"/>
  <c r="F943" i="5"/>
  <c r="E943" i="5"/>
  <c r="D943" i="5"/>
  <c r="C943" i="5"/>
  <c r="B943" i="5"/>
  <c r="I942" i="5"/>
  <c r="H942" i="5"/>
  <c r="G942" i="5"/>
  <c r="F942" i="5"/>
  <c r="E942" i="5"/>
  <c r="D942" i="5"/>
  <c r="C942" i="5"/>
  <c r="B942" i="5"/>
  <c r="I941" i="5"/>
  <c r="H941" i="5"/>
  <c r="G941" i="5"/>
  <c r="F941" i="5"/>
  <c r="E941" i="5"/>
  <c r="D941" i="5"/>
  <c r="C941" i="5"/>
  <c r="B941" i="5"/>
  <c r="I940" i="5"/>
  <c r="H940" i="5"/>
  <c r="G940" i="5"/>
  <c r="F940" i="5"/>
  <c r="E940" i="5"/>
  <c r="D940" i="5"/>
  <c r="C940" i="5"/>
  <c r="B940" i="5"/>
  <c r="I939" i="5"/>
  <c r="H939" i="5"/>
  <c r="G939" i="5"/>
  <c r="F939" i="5"/>
  <c r="E939" i="5"/>
  <c r="D939" i="5"/>
  <c r="C939" i="5"/>
  <c r="B939" i="5"/>
  <c r="I938" i="5"/>
  <c r="H938" i="5"/>
  <c r="G938" i="5"/>
  <c r="F938" i="5"/>
  <c r="E938" i="5"/>
  <c r="D938" i="5"/>
  <c r="C938" i="5"/>
  <c r="B938" i="5"/>
  <c r="I937" i="5"/>
  <c r="H937" i="5"/>
  <c r="G937" i="5"/>
  <c r="F937" i="5"/>
  <c r="E937" i="5"/>
  <c r="D937" i="5"/>
  <c r="C937" i="5"/>
  <c r="B937" i="5"/>
  <c r="I936" i="5"/>
  <c r="H936" i="5"/>
  <c r="G936" i="5"/>
  <c r="F936" i="5"/>
  <c r="E936" i="5"/>
  <c r="D936" i="5"/>
  <c r="C936" i="5"/>
  <c r="B936" i="5"/>
  <c r="I935" i="5"/>
  <c r="H935" i="5"/>
  <c r="G935" i="5"/>
  <c r="F935" i="5"/>
  <c r="E935" i="5"/>
  <c r="D935" i="5"/>
  <c r="C935" i="5"/>
  <c r="B935" i="5"/>
  <c r="I934" i="5"/>
  <c r="H934" i="5"/>
  <c r="G934" i="5"/>
  <c r="F934" i="5"/>
  <c r="E934" i="5"/>
  <c r="D934" i="5"/>
  <c r="C934" i="5"/>
  <c r="B934" i="5"/>
  <c r="I933" i="5"/>
  <c r="H933" i="5"/>
  <c r="G933" i="5"/>
  <c r="F933" i="5"/>
  <c r="E933" i="5"/>
  <c r="D933" i="5"/>
  <c r="C933" i="5"/>
  <c r="B933" i="5"/>
  <c r="I932" i="5"/>
  <c r="H932" i="5"/>
  <c r="G932" i="5"/>
  <c r="F932" i="5"/>
  <c r="E932" i="5"/>
  <c r="D932" i="5"/>
  <c r="C932" i="5"/>
  <c r="B932" i="5"/>
  <c r="I931" i="5"/>
  <c r="H931" i="5"/>
  <c r="G931" i="5"/>
  <c r="F931" i="5"/>
  <c r="E931" i="5"/>
  <c r="D931" i="5"/>
  <c r="C931" i="5"/>
  <c r="B931" i="5"/>
  <c r="I930" i="5"/>
  <c r="H930" i="5"/>
  <c r="G930" i="5"/>
  <c r="F930" i="5"/>
  <c r="E930" i="5"/>
  <c r="D930" i="5"/>
  <c r="C930" i="5"/>
  <c r="B930" i="5"/>
  <c r="I929" i="5"/>
  <c r="H929" i="5"/>
  <c r="G929" i="5"/>
  <c r="F929" i="5"/>
  <c r="E929" i="5"/>
  <c r="D929" i="5"/>
  <c r="C929" i="5"/>
  <c r="B929" i="5"/>
  <c r="I928" i="5"/>
  <c r="H928" i="5"/>
  <c r="G928" i="5"/>
  <c r="F928" i="5"/>
  <c r="E928" i="5"/>
  <c r="D928" i="5"/>
  <c r="C928" i="5"/>
  <c r="B928" i="5"/>
  <c r="I927" i="5"/>
  <c r="H927" i="5"/>
  <c r="G927" i="5"/>
  <c r="F927" i="5"/>
  <c r="E927" i="5"/>
  <c r="D927" i="5"/>
  <c r="C927" i="5"/>
  <c r="B927" i="5"/>
  <c r="I926" i="5"/>
  <c r="H926" i="5"/>
  <c r="G926" i="5"/>
  <c r="F926" i="5"/>
  <c r="E926" i="5"/>
  <c r="D926" i="5"/>
  <c r="C926" i="5"/>
  <c r="B926" i="5"/>
  <c r="I925" i="5"/>
  <c r="H925" i="5"/>
  <c r="G925" i="5"/>
  <c r="F925" i="5"/>
  <c r="E925" i="5"/>
  <c r="D925" i="5"/>
  <c r="C925" i="5"/>
  <c r="B925" i="5"/>
  <c r="I924" i="5"/>
  <c r="H924" i="5"/>
  <c r="G924" i="5"/>
  <c r="F924" i="5"/>
  <c r="E924" i="5"/>
  <c r="D924" i="5"/>
  <c r="C924" i="5"/>
  <c r="B924" i="5"/>
  <c r="I923" i="5"/>
  <c r="H923" i="5"/>
  <c r="G923" i="5"/>
  <c r="F923" i="5"/>
  <c r="E923" i="5"/>
  <c r="D923" i="5"/>
  <c r="C923" i="5"/>
  <c r="B923" i="5"/>
  <c r="I922" i="5"/>
  <c r="H922" i="5"/>
  <c r="G922" i="5"/>
  <c r="F922" i="5"/>
  <c r="E922" i="5"/>
  <c r="D922" i="5"/>
  <c r="C922" i="5"/>
  <c r="B922" i="5"/>
  <c r="I921" i="5"/>
  <c r="H921" i="5"/>
  <c r="G921" i="5"/>
  <c r="F921" i="5"/>
  <c r="E921" i="5"/>
  <c r="D921" i="5"/>
  <c r="C921" i="5"/>
  <c r="B921" i="5"/>
  <c r="I920" i="5"/>
  <c r="H920" i="5"/>
  <c r="G920" i="5"/>
  <c r="F920" i="5"/>
  <c r="E920" i="5"/>
  <c r="D920" i="5"/>
  <c r="C920" i="5"/>
  <c r="B920" i="5"/>
  <c r="I919" i="5"/>
  <c r="H919" i="5"/>
  <c r="G919" i="5"/>
  <c r="F919" i="5"/>
  <c r="E919" i="5"/>
  <c r="D919" i="5"/>
  <c r="C919" i="5"/>
  <c r="B919" i="5"/>
  <c r="I918" i="5"/>
  <c r="H918" i="5"/>
  <c r="G918" i="5"/>
  <c r="F918" i="5"/>
  <c r="E918" i="5"/>
  <c r="D918" i="5"/>
  <c r="C918" i="5"/>
  <c r="B918" i="5"/>
  <c r="I917" i="5"/>
  <c r="H917" i="5"/>
  <c r="G917" i="5"/>
  <c r="F917" i="5"/>
  <c r="E917" i="5"/>
  <c r="D917" i="5"/>
  <c r="C917" i="5"/>
  <c r="B917" i="5"/>
  <c r="I916" i="5"/>
  <c r="H916" i="5"/>
  <c r="G916" i="5"/>
  <c r="F916" i="5"/>
  <c r="E916" i="5"/>
  <c r="D916" i="5"/>
  <c r="C916" i="5"/>
  <c r="B916" i="5"/>
  <c r="I915" i="5"/>
  <c r="H915" i="5"/>
  <c r="G915" i="5"/>
  <c r="F915" i="5"/>
  <c r="E915" i="5"/>
  <c r="D915" i="5"/>
  <c r="C915" i="5"/>
  <c r="B915" i="5"/>
  <c r="I914" i="5"/>
  <c r="H914" i="5"/>
  <c r="G914" i="5"/>
  <c r="F914" i="5"/>
  <c r="E914" i="5"/>
  <c r="D914" i="5"/>
  <c r="C914" i="5"/>
  <c r="B914" i="5"/>
  <c r="I913" i="5"/>
  <c r="H913" i="5"/>
  <c r="G913" i="5"/>
  <c r="F913" i="5"/>
  <c r="E913" i="5"/>
  <c r="D913" i="5"/>
  <c r="C913" i="5"/>
  <c r="B913" i="5"/>
  <c r="I912" i="5"/>
  <c r="H912" i="5"/>
  <c r="G912" i="5"/>
  <c r="F912" i="5"/>
  <c r="E912" i="5"/>
  <c r="D912" i="5"/>
  <c r="C912" i="5"/>
  <c r="B912" i="5"/>
  <c r="I911" i="5"/>
  <c r="H911" i="5"/>
  <c r="G911" i="5"/>
  <c r="F911" i="5"/>
  <c r="E911" i="5"/>
  <c r="D911" i="5"/>
  <c r="C911" i="5"/>
  <c r="B911" i="5"/>
  <c r="I910" i="5"/>
  <c r="H910" i="5"/>
  <c r="G910" i="5"/>
  <c r="F910" i="5"/>
  <c r="E910" i="5"/>
  <c r="D910" i="5"/>
  <c r="C910" i="5"/>
  <c r="B910" i="5"/>
  <c r="I909" i="5"/>
  <c r="H909" i="5"/>
  <c r="G909" i="5"/>
  <c r="F909" i="5"/>
  <c r="E909" i="5"/>
  <c r="D909" i="5"/>
  <c r="C909" i="5"/>
  <c r="B909" i="5"/>
  <c r="I908" i="5"/>
  <c r="H908" i="5"/>
  <c r="G908" i="5"/>
  <c r="F908" i="5"/>
  <c r="E908" i="5"/>
  <c r="D908" i="5"/>
  <c r="C908" i="5"/>
  <c r="B908" i="5"/>
  <c r="I907" i="5"/>
  <c r="H907" i="5"/>
  <c r="G907" i="5"/>
  <c r="F907" i="5"/>
  <c r="E907" i="5"/>
  <c r="D907" i="5"/>
  <c r="C907" i="5"/>
  <c r="B907" i="5"/>
  <c r="I906" i="5"/>
  <c r="H906" i="5"/>
  <c r="G906" i="5"/>
  <c r="F906" i="5"/>
  <c r="E906" i="5"/>
  <c r="D906" i="5"/>
  <c r="C906" i="5"/>
  <c r="B906" i="5"/>
  <c r="I905" i="5"/>
  <c r="H905" i="5"/>
  <c r="G905" i="5"/>
  <c r="F905" i="5"/>
  <c r="E905" i="5"/>
  <c r="D905" i="5"/>
  <c r="C905" i="5"/>
  <c r="B905" i="5"/>
  <c r="I904" i="5"/>
  <c r="H904" i="5"/>
  <c r="G904" i="5"/>
  <c r="F904" i="5"/>
  <c r="E904" i="5"/>
  <c r="D904" i="5"/>
  <c r="C904" i="5"/>
  <c r="B904" i="5"/>
  <c r="I903" i="5"/>
  <c r="H903" i="5"/>
  <c r="G903" i="5"/>
  <c r="F903" i="5"/>
  <c r="E903" i="5"/>
  <c r="D903" i="5"/>
  <c r="C903" i="5"/>
  <c r="B903" i="5"/>
  <c r="I902" i="5"/>
  <c r="H902" i="5"/>
  <c r="G902" i="5"/>
  <c r="F902" i="5"/>
  <c r="E902" i="5"/>
  <c r="D902" i="5"/>
  <c r="C902" i="5"/>
  <c r="B902" i="5"/>
  <c r="I901" i="5"/>
  <c r="H901" i="5"/>
  <c r="G901" i="5"/>
  <c r="F901" i="5"/>
  <c r="E901" i="5"/>
  <c r="D901" i="5"/>
  <c r="C901" i="5"/>
  <c r="B901" i="5"/>
  <c r="I900" i="5"/>
  <c r="H900" i="5"/>
  <c r="G900" i="5"/>
  <c r="F900" i="5"/>
  <c r="E900" i="5"/>
  <c r="D900" i="5"/>
  <c r="C900" i="5"/>
  <c r="B900" i="5"/>
  <c r="I899" i="5"/>
  <c r="H899" i="5"/>
  <c r="G899" i="5"/>
  <c r="F899" i="5"/>
  <c r="E899" i="5"/>
  <c r="D899" i="5"/>
  <c r="C899" i="5"/>
  <c r="B899" i="5"/>
  <c r="I898" i="5"/>
  <c r="H898" i="5"/>
  <c r="G898" i="5"/>
  <c r="F898" i="5"/>
  <c r="E898" i="5"/>
  <c r="D898" i="5"/>
  <c r="C898" i="5"/>
  <c r="B898" i="5"/>
  <c r="I897" i="5"/>
  <c r="H897" i="5"/>
  <c r="G897" i="5"/>
  <c r="F897" i="5"/>
  <c r="E897" i="5"/>
  <c r="D897" i="5"/>
  <c r="C897" i="5"/>
  <c r="B897" i="5"/>
  <c r="I896" i="5"/>
  <c r="H896" i="5"/>
  <c r="G896" i="5"/>
  <c r="F896" i="5"/>
  <c r="E896" i="5"/>
  <c r="D896" i="5"/>
  <c r="C896" i="5"/>
  <c r="B896" i="5"/>
  <c r="I895" i="5"/>
  <c r="H895" i="5"/>
  <c r="G895" i="5"/>
  <c r="F895" i="5"/>
  <c r="E895" i="5"/>
  <c r="D895" i="5"/>
  <c r="C895" i="5"/>
  <c r="B895" i="5"/>
  <c r="I894" i="5"/>
  <c r="H894" i="5"/>
  <c r="G894" i="5"/>
  <c r="F894" i="5"/>
  <c r="E894" i="5"/>
  <c r="D894" i="5"/>
  <c r="C894" i="5"/>
  <c r="B894" i="5"/>
  <c r="I893" i="5"/>
  <c r="H893" i="5"/>
  <c r="G893" i="5"/>
  <c r="F893" i="5"/>
  <c r="E893" i="5"/>
  <c r="D893" i="5"/>
  <c r="C893" i="5"/>
  <c r="B893" i="5"/>
  <c r="I892" i="5"/>
  <c r="H892" i="5"/>
  <c r="G892" i="5"/>
  <c r="F892" i="5"/>
  <c r="E892" i="5"/>
  <c r="D892" i="5"/>
  <c r="C892" i="5"/>
  <c r="B892" i="5"/>
  <c r="I891" i="5"/>
  <c r="G891" i="5"/>
  <c r="F891" i="5"/>
  <c r="E891" i="5"/>
  <c r="D891" i="5"/>
  <c r="C891" i="5"/>
  <c r="B891" i="5"/>
  <c r="I890" i="5"/>
  <c r="G890" i="5"/>
  <c r="F890" i="5"/>
  <c r="E890" i="5"/>
  <c r="D890" i="5"/>
  <c r="C890" i="5"/>
  <c r="B890" i="5"/>
  <c r="I889" i="5"/>
  <c r="H889" i="5"/>
  <c r="G889" i="5"/>
  <c r="F889" i="5"/>
  <c r="E889" i="5"/>
  <c r="D889" i="5"/>
  <c r="C889" i="5"/>
  <c r="B889" i="5"/>
  <c r="I888" i="5"/>
  <c r="H888" i="5"/>
  <c r="G888" i="5"/>
  <c r="F888" i="5"/>
  <c r="E888" i="5"/>
  <c r="D888" i="5"/>
  <c r="C888" i="5"/>
  <c r="B888" i="5"/>
  <c r="I887" i="5"/>
  <c r="H887" i="5"/>
  <c r="G887" i="5"/>
  <c r="F887" i="5"/>
  <c r="E887" i="5"/>
  <c r="D887" i="5"/>
  <c r="C887" i="5"/>
  <c r="B887" i="5"/>
  <c r="I886" i="5"/>
  <c r="H886" i="5"/>
  <c r="G886" i="5"/>
  <c r="F886" i="5"/>
  <c r="E886" i="5"/>
  <c r="D886" i="5"/>
  <c r="C886" i="5"/>
  <c r="B886" i="5"/>
  <c r="I885" i="5"/>
  <c r="H885" i="5"/>
  <c r="G885" i="5"/>
  <c r="F885" i="5"/>
  <c r="E885" i="5"/>
  <c r="D885" i="5"/>
  <c r="C885" i="5"/>
  <c r="B885" i="5"/>
  <c r="I884" i="5"/>
  <c r="H884" i="5"/>
  <c r="G884" i="5"/>
  <c r="F884" i="5"/>
  <c r="E884" i="5"/>
  <c r="D884" i="5"/>
  <c r="C884" i="5"/>
  <c r="B884" i="5"/>
  <c r="I883" i="5"/>
  <c r="H883" i="5"/>
  <c r="G883" i="5"/>
  <c r="F883" i="5"/>
  <c r="E883" i="5"/>
  <c r="D883" i="5"/>
  <c r="C883" i="5"/>
  <c r="B883" i="5"/>
  <c r="I882" i="5"/>
  <c r="H882" i="5"/>
  <c r="G882" i="5"/>
  <c r="F882" i="5"/>
  <c r="E882" i="5"/>
  <c r="D882" i="5"/>
  <c r="C882" i="5"/>
  <c r="B882" i="5"/>
  <c r="I881" i="5"/>
  <c r="H881" i="5"/>
  <c r="G881" i="5"/>
  <c r="F881" i="5"/>
  <c r="E881" i="5"/>
  <c r="D881" i="5"/>
  <c r="C881" i="5"/>
  <c r="B881" i="5"/>
  <c r="I880" i="5"/>
  <c r="H880" i="5"/>
  <c r="G880" i="5"/>
  <c r="F880" i="5"/>
  <c r="E880" i="5"/>
  <c r="D880" i="5"/>
  <c r="C880" i="5"/>
  <c r="B880" i="5"/>
  <c r="I879" i="5"/>
  <c r="H879" i="5"/>
  <c r="G879" i="5"/>
  <c r="F879" i="5"/>
  <c r="E879" i="5"/>
  <c r="D879" i="5"/>
  <c r="C879" i="5"/>
  <c r="B879" i="5"/>
  <c r="I878" i="5"/>
  <c r="H878" i="5"/>
  <c r="G878" i="5"/>
  <c r="F878" i="5"/>
  <c r="E878" i="5"/>
  <c r="D878" i="5"/>
  <c r="C878" i="5"/>
  <c r="B878" i="5"/>
  <c r="I877" i="5"/>
  <c r="H877" i="5"/>
  <c r="G877" i="5"/>
  <c r="F877" i="5"/>
  <c r="E877" i="5"/>
  <c r="D877" i="5"/>
  <c r="C877" i="5"/>
  <c r="B877" i="5"/>
  <c r="I876" i="5"/>
  <c r="H876" i="5"/>
  <c r="G876" i="5"/>
  <c r="F876" i="5"/>
  <c r="E876" i="5"/>
  <c r="D876" i="5"/>
  <c r="C876" i="5"/>
  <c r="B876" i="5"/>
  <c r="I875" i="5"/>
  <c r="H875" i="5"/>
  <c r="G875" i="5"/>
  <c r="F875" i="5"/>
  <c r="E875" i="5"/>
  <c r="D875" i="5"/>
  <c r="C875" i="5"/>
  <c r="B875" i="5"/>
  <c r="I874" i="5"/>
  <c r="H874" i="5"/>
  <c r="G874" i="5"/>
  <c r="F874" i="5"/>
  <c r="E874" i="5"/>
  <c r="D874" i="5"/>
  <c r="C874" i="5"/>
  <c r="B874" i="5"/>
  <c r="I873" i="5"/>
  <c r="H873" i="5"/>
  <c r="G873" i="5"/>
  <c r="F873" i="5"/>
  <c r="E873" i="5"/>
  <c r="D873" i="5"/>
  <c r="C873" i="5"/>
  <c r="B873" i="5"/>
  <c r="I872" i="5"/>
  <c r="H872" i="5"/>
  <c r="G872" i="5"/>
  <c r="F872" i="5"/>
  <c r="E872" i="5"/>
  <c r="D872" i="5"/>
  <c r="C872" i="5"/>
  <c r="B872" i="5"/>
  <c r="I871" i="5"/>
  <c r="H871" i="5"/>
  <c r="G871" i="5"/>
  <c r="F871" i="5"/>
  <c r="E871" i="5"/>
  <c r="D871" i="5"/>
  <c r="C871" i="5"/>
  <c r="B871" i="5"/>
  <c r="I870" i="5"/>
  <c r="H870" i="5"/>
  <c r="G870" i="5"/>
  <c r="F870" i="5"/>
  <c r="E870" i="5"/>
  <c r="D870" i="5"/>
  <c r="C870" i="5"/>
  <c r="B870" i="5"/>
  <c r="I869" i="5"/>
  <c r="H869" i="5"/>
  <c r="G869" i="5"/>
  <c r="F869" i="5"/>
  <c r="E869" i="5"/>
  <c r="D869" i="5"/>
  <c r="C869" i="5"/>
  <c r="B869" i="5"/>
  <c r="I868" i="5"/>
  <c r="H868" i="5"/>
  <c r="G868" i="5"/>
  <c r="F868" i="5"/>
  <c r="E868" i="5"/>
  <c r="D868" i="5"/>
  <c r="C868" i="5"/>
  <c r="B868" i="5"/>
  <c r="I867" i="5"/>
  <c r="H867" i="5"/>
  <c r="G867" i="5"/>
  <c r="F867" i="5"/>
  <c r="E867" i="5"/>
  <c r="D867" i="5"/>
  <c r="C867" i="5"/>
  <c r="B867" i="5"/>
  <c r="I866" i="5"/>
  <c r="H866" i="5"/>
  <c r="G866" i="5"/>
  <c r="F866" i="5"/>
  <c r="E866" i="5"/>
  <c r="D866" i="5"/>
  <c r="C866" i="5"/>
  <c r="B866" i="5"/>
  <c r="I865" i="5"/>
  <c r="H865" i="5"/>
  <c r="G865" i="5"/>
  <c r="F865" i="5"/>
  <c r="E865" i="5"/>
  <c r="D865" i="5"/>
  <c r="C865" i="5"/>
  <c r="B865" i="5"/>
  <c r="I864" i="5"/>
  <c r="H864" i="5"/>
  <c r="G864" i="5"/>
  <c r="F864" i="5"/>
  <c r="E864" i="5"/>
  <c r="D864" i="5"/>
  <c r="C864" i="5"/>
  <c r="B864" i="5"/>
  <c r="I863" i="5"/>
  <c r="H863" i="5"/>
  <c r="G863" i="5"/>
  <c r="F863" i="5"/>
  <c r="E863" i="5"/>
  <c r="D863" i="5"/>
  <c r="C863" i="5"/>
  <c r="B863" i="5"/>
  <c r="I862" i="5"/>
  <c r="H862" i="5"/>
  <c r="G862" i="5"/>
  <c r="F862" i="5"/>
  <c r="E862" i="5"/>
  <c r="D862" i="5"/>
  <c r="C862" i="5"/>
  <c r="B862" i="5"/>
  <c r="I861" i="5"/>
  <c r="H861" i="5"/>
  <c r="G861" i="5"/>
  <c r="F861" i="5"/>
  <c r="E861" i="5"/>
  <c r="D861" i="5"/>
  <c r="C861" i="5"/>
  <c r="B861" i="5"/>
  <c r="I860" i="5"/>
  <c r="H860" i="5"/>
  <c r="G860" i="5"/>
  <c r="F860" i="5"/>
  <c r="E860" i="5"/>
  <c r="D860" i="5"/>
  <c r="C860" i="5"/>
  <c r="B860" i="5"/>
  <c r="I859" i="5"/>
  <c r="H859" i="5"/>
  <c r="G859" i="5"/>
  <c r="F859" i="5"/>
  <c r="E859" i="5"/>
  <c r="D859" i="5"/>
  <c r="C859" i="5"/>
  <c r="B859" i="5"/>
  <c r="I858" i="5"/>
  <c r="H858" i="5"/>
  <c r="G858" i="5"/>
  <c r="F858" i="5"/>
  <c r="E858" i="5"/>
  <c r="D858" i="5"/>
  <c r="C858" i="5"/>
  <c r="B858" i="5"/>
  <c r="I857" i="5"/>
  <c r="H857" i="5"/>
  <c r="G857" i="5"/>
  <c r="F857" i="5"/>
  <c r="E857" i="5"/>
  <c r="D857" i="5"/>
  <c r="C857" i="5"/>
  <c r="B857" i="5"/>
  <c r="I856" i="5"/>
  <c r="H856" i="5"/>
  <c r="G856" i="5"/>
  <c r="F856" i="5"/>
  <c r="E856" i="5"/>
  <c r="D856" i="5"/>
  <c r="C856" i="5"/>
  <c r="B856" i="5"/>
  <c r="I855" i="5"/>
  <c r="H855" i="5"/>
  <c r="G855" i="5"/>
  <c r="F855" i="5"/>
  <c r="E855" i="5"/>
  <c r="D855" i="5"/>
  <c r="C855" i="5"/>
  <c r="B855" i="5"/>
  <c r="I854" i="5"/>
  <c r="H854" i="5"/>
  <c r="G854" i="5"/>
  <c r="F854" i="5"/>
  <c r="E854" i="5"/>
  <c r="D854" i="5"/>
  <c r="C854" i="5"/>
  <c r="B854" i="5"/>
  <c r="I853" i="5"/>
  <c r="H853" i="5"/>
  <c r="G853" i="5"/>
  <c r="F853" i="5"/>
  <c r="E853" i="5"/>
  <c r="D853" i="5"/>
  <c r="C853" i="5"/>
  <c r="B853" i="5"/>
  <c r="I852" i="5"/>
  <c r="H852" i="5"/>
  <c r="G852" i="5"/>
  <c r="F852" i="5"/>
  <c r="E852" i="5"/>
  <c r="D852" i="5"/>
  <c r="C852" i="5"/>
  <c r="B852" i="5"/>
  <c r="I851" i="5"/>
  <c r="H851" i="5"/>
  <c r="G851" i="5"/>
  <c r="F851" i="5"/>
  <c r="E851" i="5"/>
  <c r="D851" i="5"/>
  <c r="C851" i="5"/>
  <c r="B851" i="5"/>
  <c r="I850" i="5"/>
  <c r="H850" i="5"/>
  <c r="G850" i="5"/>
  <c r="F850" i="5"/>
  <c r="E850" i="5"/>
  <c r="D850" i="5"/>
  <c r="C850" i="5"/>
  <c r="B850" i="5"/>
  <c r="I849" i="5"/>
  <c r="H849" i="5"/>
  <c r="G849" i="5"/>
  <c r="F849" i="5"/>
  <c r="E849" i="5"/>
  <c r="D849" i="5"/>
  <c r="C849" i="5"/>
  <c r="B849" i="5"/>
  <c r="I848" i="5"/>
  <c r="H848" i="5"/>
  <c r="G848" i="5"/>
  <c r="F848" i="5"/>
  <c r="E848" i="5"/>
  <c r="D848" i="5"/>
  <c r="C848" i="5"/>
  <c r="B848" i="5"/>
  <c r="I847" i="5"/>
  <c r="H847" i="5"/>
  <c r="G847" i="5"/>
  <c r="F847" i="5"/>
  <c r="E847" i="5"/>
  <c r="D847" i="5"/>
  <c r="C847" i="5"/>
  <c r="B847" i="5"/>
  <c r="I846" i="5"/>
  <c r="H846" i="5"/>
  <c r="G846" i="5"/>
  <c r="F846" i="5"/>
  <c r="E846" i="5"/>
  <c r="D846" i="5"/>
  <c r="C846" i="5"/>
  <c r="B846" i="5"/>
  <c r="I845" i="5"/>
  <c r="H845" i="5"/>
  <c r="G845" i="5"/>
  <c r="F845" i="5"/>
  <c r="E845" i="5"/>
  <c r="D845" i="5"/>
  <c r="C845" i="5"/>
  <c r="B845" i="5"/>
  <c r="I844" i="5"/>
  <c r="H844" i="5"/>
  <c r="G844" i="5"/>
  <c r="F844" i="5"/>
  <c r="E844" i="5"/>
  <c r="D844" i="5"/>
  <c r="C844" i="5"/>
  <c r="B844" i="5"/>
  <c r="I843" i="5"/>
  <c r="H843" i="5"/>
  <c r="G843" i="5"/>
  <c r="F843" i="5"/>
  <c r="E843" i="5"/>
  <c r="D843" i="5"/>
  <c r="C843" i="5"/>
  <c r="B843" i="5"/>
  <c r="I842" i="5"/>
  <c r="H842" i="5"/>
  <c r="G842" i="5"/>
  <c r="F842" i="5"/>
  <c r="E842" i="5"/>
  <c r="D842" i="5"/>
  <c r="C842" i="5"/>
  <c r="B842" i="5"/>
  <c r="I841" i="5"/>
  <c r="H841" i="5"/>
  <c r="G841" i="5"/>
  <c r="F841" i="5"/>
  <c r="E841" i="5"/>
  <c r="D841" i="5"/>
  <c r="C841" i="5"/>
  <c r="B841" i="5"/>
  <c r="I840" i="5"/>
  <c r="H840" i="5"/>
  <c r="G840" i="5"/>
  <c r="F840" i="5"/>
  <c r="E840" i="5"/>
  <c r="D840" i="5"/>
  <c r="C840" i="5"/>
  <c r="B840" i="5"/>
  <c r="I839" i="5"/>
  <c r="H839" i="5"/>
  <c r="G839" i="5"/>
  <c r="F839" i="5"/>
  <c r="E839" i="5"/>
  <c r="D839" i="5"/>
  <c r="C839" i="5"/>
  <c r="B839" i="5"/>
  <c r="I838" i="5"/>
  <c r="H838" i="5"/>
  <c r="G838" i="5"/>
  <c r="F838" i="5"/>
  <c r="E838" i="5"/>
  <c r="D838" i="5"/>
  <c r="C838" i="5"/>
  <c r="B838" i="5"/>
  <c r="I837" i="5"/>
  <c r="H837" i="5"/>
  <c r="G837" i="5"/>
  <c r="F837" i="5"/>
  <c r="E837" i="5"/>
  <c r="D837" i="5"/>
  <c r="C837" i="5"/>
  <c r="B837" i="5"/>
  <c r="I836" i="5"/>
  <c r="H836" i="5"/>
  <c r="G836" i="5"/>
  <c r="F836" i="5"/>
  <c r="E836" i="5"/>
  <c r="D836" i="5"/>
  <c r="C836" i="5"/>
  <c r="B836" i="5"/>
  <c r="I835" i="5"/>
  <c r="H835" i="5"/>
  <c r="G835" i="5"/>
  <c r="F835" i="5"/>
  <c r="E835" i="5"/>
  <c r="D835" i="5"/>
  <c r="C835" i="5"/>
  <c r="B835" i="5"/>
  <c r="I834" i="5"/>
  <c r="H834" i="5"/>
  <c r="G834" i="5"/>
  <c r="F834" i="5"/>
  <c r="E834" i="5"/>
  <c r="D834" i="5"/>
  <c r="C834" i="5"/>
  <c r="B834" i="5"/>
  <c r="I833" i="5"/>
  <c r="H833" i="5"/>
  <c r="G833" i="5"/>
  <c r="F833" i="5"/>
  <c r="E833" i="5"/>
  <c r="D833" i="5"/>
  <c r="C833" i="5"/>
  <c r="B833" i="5"/>
  <c r="I832" i="5"/>
  <c r="H832" i="5"/>
  <c r="G832" i="5"/>
  <c r="F832" i="5"/>
  <c r="E832" i="5"/>
  <c r="D832" i="5"/>
  <c r="C832" i="5"/>
  <c r="B832" i="5"/>
  <c r="I831" i="5"/>
  <c r="H831" i="5"/>
  <c r="G831" i="5"/>
  <c r="F831" i="5"/>
  <c r="E831" i="5"/>
  <c r="D831" i="5"/>
  <c r="C831" i="5"/>
  <c r="B831" i="5"/>
  <c r="I830" i="5"/>
  <c r="H830" i="5"/>
  <c r="G830" i="5"/>
  <c r="F830" i="5"/>
  <c r="E830" i="5"/>
  <c r="D830" i="5"/>
  <c r="C830" i="5"/>
  <c r="B830" i="5"/>
  <c r="I829" i="5"/>
  <c r="H829" i="5"/>
  <c r="G829" i="5"/>
  <c r="F829" i="5"/>
  <c r="E829" i="5"/>
  <c r="D829" i="5"/>
  <c r="C829" i="5"/>
  <c r="B829" i="5"/>
  <c r="I828" i="5"/>
  <c r="H828" i="5"/>
  <c r="G828" i="5"/>
  <c r="F828" i="5"/>
  <c r="E828" i="5"/>
  <c r="D828" i="5"/>
  <c r="C828" i="5"/>
  <c r="B828" i="5"/>
  <c r="I827" i="5"/>
  <c r="H827" i="5"/>
  <c r="G827" i="5"/>
  <c r="F827" i="5"/>
  <c r="E827" i="5"/>
  <c r="D827" i="5"/>
  <c r="C827" i="5"/>
  <c r="B827" i="5"/>
  <c r="I826" i="5"/>
  <c r="H826" i="5"/>
  <c r="G826" i="5"/>
  <c r="F826" i="5"/>
  <c r="E826" i="5"/>
  <c r="D826" i="5"/>
  <c r="C826" i="5"/>
  <c r="B826" i="5"/>
  <c r="I825" i="5"/>
  <c r="H825" i="5"/>
  <c r="G825" i="5"/>
  <c r="F825" i="5"/>
  <c r="E825" i="5"/>
  <c r="D825" i="5"/>
  <c r="C825" i="5"/>
  <c r="B825" i="5"/>
  <c r="I824" i="5"/>
  <c r="H824" i="5"/>
  <c r="G824" i="5"/>
  <c r="F824" i="5"/>
  <c r="E824" i="5"/>
  <c r="D824" i="5"/>
  <c r="C824" i="5"/>
  <c r="B824" i="5"/>
  <c r="I823" i="5"/>
  <c r="H823" i="5"/>
  <c r="G823" i="5"/>
  <c r="F823" i="5"/>
  <c r="E823" i="5"/>
  <c r="D823" i="5"/>
  <c r="C823" i="5"/>
  <c r="B823" i="5"/>
  <c r="I822" i="5"/>
  <c r="H822" i="5"/>
  <c r="G822" i="5"/>
  <c r="F822" i="5"/>
  <c r="E822" i="5"/>
  <c r="D822" i="5"/>
  <c r="C822" i="5"/>
  <c r="B822" i="5"/>
  <c r="I821" i="5"/>
  <c r="H821" i="5"/>
  <c r="G821" i="5"/>
  <c r="F821" i="5"/>
  <c r="E821" i="5"/>
  <c r="D821" i="5"/>
  <c r="C821" i="5"/>
  <c r="B821" i="5"/>
  <c r="I820" i="5"/>
  <c r="H820" i="5"/>
  <c r="G820" i="5"/>
  <c r="F820" i="5"/>
  <c r="E820" i="5"/>
  <c r="D820" i="5"/>
  <c r="C820" i="5"/>
  <c r="B820" i="5"/>
  <c r="I819" i="5"/>
  <c r="H819" i="5"/>
  <c r="G819" i="5"/>
  <c r="F819" i="5"/>
  <c r="E819" i="5"/>
  <c r="D819" i="5"/>
  <c r="C819" i="5"/>
  <c r="B819" i="5"/>
  <c r="I818" i="5"/>
  <c r="H818" i="5"/>
  <c r="G818" i="5"/>
  <c r="F818" i="5"/>
  <c r="E818" i="5"/>
  <c r="D818" i="5"/>
  <c r="C818" i="5"/>
  <c r="B818" i="5"/>
  <c r="I817" i="5"/>
  <c r="H817" i="5"/>
  <c r="G817" i="5"/>
  <c r="F817" i="5"/>
  <c r="E817" i="5"/>
  <c r="D817" i="5"/>
  <c r="C817" i="5"/>
  <c r="B817" i="5"/>
  <c r="I816" i="5"/>
  <c r="H816" i="5"/>
  <c r="G816" i="5"/>
  <c r="F816" i="5"/>
  <c r="E816" i="5"/>
  <c r="D816" i="5"/>
  <c r="C816" i="5"/>
  <c r="B816" i="5"/>
  <c r="I815" i="5"/>
  <c r="H815" i="5"/>
  <c r="G815" i="5"/>
  <c r="F815" i="5"/>
  <c r="E815" i="5"/>
  <c r="D815" i="5"/>
  <c r="C815" i="5"/>
  <c r="B815" i="5"/>
  <c r="I814" i="5"/>
  <c r="H814" i="5"/>
  <c r="G814" i="5"/>
  <c r="F814" i="5"/>
  <c r="E814" i="5"/>
  <c r="D814" i="5"/>
  <c r="C814" i="5"/>
  <c r="B814" i="5"/>
  <c r="I813" i="5"/>
  <c r="H813" i="5"/>
  <c r="G813" i="5"/>
  <c r="F813" i="5"/>
  <c r="E813" i="5"/>
  <c r="D813" i="5"/>
  <c r="C813" i="5"/>
  <c r="B813" i="5"/>
  <c r="I812" i="5"/>
  <c r="H812" i="5"/>
  <c r="G812" i="5"/>
  <c r="F812" i="5"/>
  <c r="E812" i="5"/>
  <c r="D812" i="5"/>
  <c r="C812" i="5"/>
  <c r="B812" i="5"/>
  <c r="I811" i="5"/>
  <c r="H811" i="5"/>
  <c r="G811" i="5"/>
  <c r="F811" i="5"/>
  <c r="E811" i="5"/>
  <c r="D811" i="5"/>
  <c r="C811" i="5"/>
  <c r="B811" i="5"/>
  <c r="I810" i="5"/>
  <c r="H810" i="5"/>
  <c r="G810" i="5"/>
  <c r="F810" i="5"/>
  <c r="E810" i="5"/>
  <c r="D810" i="5"/>
  <c r="C810" i="5"/>
  <c r="B810" i="5"/>
  <c r="I809" i="5"/>
  <c r="H809" i="5"/>
  <c r="G809" i="5"/>
  <c r="F809" i="5"/>
  <c r="E809" i="5"/>
  <c r="D809" i="5"/>
  <c r="C809" i="5"/>
  <c r="B809" i="5"/>
  <c r="I808" i="5"/>
  <c r="H808" i="5"/>
  <c r="G808" i="5"/>
  <c r="F808" i="5"/>
  <c r="E808" i="5"/>
  <c r="D808" i="5"/>
  <c r="C808" i="5"/>
  <c r="B808" i="5"/>
  <c r="I807" i="5"/>
  <c r="H807" i="5"/>
  <c r="G807" i="5"/>
  <c r="F807" i="5"/>
  <c r="E807" i="5"/>
  <c r="D807" i="5"/>
  <c r="C807" i="5"/>
  <c r="B807" i="5"/>
  <c r="I806" i="5"/>
  <c r="H806" i="5"/>
  <c r="G806" i="5"/>
  <c r="F806" i="5"/>
  <c r="E806" i="5"/>
  <c r="D806" i="5"/>
  <c r="C806" i="5"/>
  <c r="B806" i="5"/>
  <c r="I805" i="5"/>
  <c r="H805" i="5"/>
  <c r="G805" i="5"/>
  <c r="F805" i="5"/>
  <c r="E805" i="5"/>
  <c r="D805" i="5"/>
  <c r="C805" i="5"/>
  <c r="B805" i="5"/>
  <c r="I804" i="5"/>
  <c r="H804" i="5"/>
  <c r="G804" i="5"/>
  <c r="F804" i="5"/>
  <c r="E804" i="5"/>
  <c r="D804" i="5"/>
  <c r="C804" i="5"/>
  <c r="B804" i="5"/>
  <c r="I803" i="5"/>
  <c r="H803" i="5"/>
  <c r="G803" i="5"/>
  <c r="F803" i="5"/>
  <c r="E803" i="5"/>
  <c r="D803" i="5"/>
  <c r="C803" i="5"/>
  <c r="B803" i="5"/>
  <c r="I802" i="5"/>
  <c r="H802" i="5"/>
  <c r="G802" i="5"/>
  <c r="F802" i="5"/>
  <c r="E802" i="5"/>
  <c r="D802" i="5"/>
  <c r="C802" i="5"/>
  <c r="B802" i="5"/>
  <c r="I801" i="5"/>
  <c r="H801" i="5"/>
  <c r="G801" i="5"/>
  <c r="F801" i="5"/>
  <c r="E801" i="5"/>
  <c r="D801" i="5"/>
  <c r="C801" i="5"/>
  <c r="B801" i="5"/>
  <c r="I800" i="5"/>
  <c r="H800" i="5"/>
  <c r="G800" i="5"/>
  <c r="F800" i="5"/>
  <c r="E800" i="5"/>
  <c r="D800" i="5"/>
  <c r="C800" i="5"/>
  <c r="B800" i="5"/>
  <c r="I799" i="5"/>
  <c r="H799" i="5"/>
  <c r="G799" i="5"/>
  <c r="F799" i="5"/>
  <c r="E799" i="5"/>
  <c r="D799" i="5"/>
  <c r="C799" i="5"/>
  <c r="B799" i="5"/>
  <c r="I798" i="5"/>
  <c r="H798" i="5"/>
  <c r="G798" i="5"/>
  <c r="F798" i="5"/>
  <c r="E798" i="5"/>
  <c r="D798" i="5"/>
  <c r="C798" i="5"/>
  <c r="B798" i="5"/>
  <c r="I797" i="5"/>
  <c r="H797" i="5"/>
  <c r="G797" i="5"/>
  <c r="F797" i="5"/>
  <c r="E797" i="5"/>
  <c r="D797" i="5"/>
  <c r="C797" i="5"/>
  <c r="B797" i="5"/>
  <c r="I796" i="5"/>
  <c r="H796" i="5"/>
  <c r="G796" i="5"/>
  <c r="F796" i="5"/>
  <c r="E796" i="5"/>
  <c r="D796" i="5"/>
  <c r="C796" i="5"/>
  <c r="B796" i="5"/>
  <c r="I795" i="5"/>
  <c r="H795" i="5"/>
  <c r="G795" i="5"/>
  <c r="F795" i="5"/>
  <c r="E795" i="5"/>
  <c r="D795" i="5"/>
  <c r="C795" i="5"/>
  <c r="B795" i="5"/>
  <c r="I794" i="5"/>
  <c r="H794" i="5"/>
  <c r="G794" i="5"/>
  <c r="F794" i="5"/>
  <c r="E794" i="5"/>
  <c r="D794" i="5"/>
  <c r="C794" i="5"/>
  <c r="B794" i="5"/>
  <c r="I793" i="5"/>
  <c r="H793" i="5"/>
  <c r="G793" i="5"/>
  <c r="F793" i="5"/>
  <c r="E793" i="5"/>
  <c r="D793" i="5"/>
  <c r="C793" i="5"/>
  <c r="B793" i="5"/>
  <c r="I792" i="5"/>
  <c r="H792" i="5"/>
  <c r="G792" i="5"/>
  <c r="F792" i="5"/>
  <c r="E792" i="5"/>
  <c r="D792" i="5"/>
  <c r="C792" i="5"/>
  <c r="B792" i="5"/>
  <c r="I791" i="5"/>
  <c r="H791" i="5"/>
  <c r="G791" i="5"/>
  <c r="F791" i="5"/>
  <c r="E791" i="5"/>
  <c r="D791" i="5"/>
  <c r="C791" i="5"/>
  <c r="B791" i="5"/>
  <c r="I790" i="5"/>
  <c r="H790" i="5"/>
  <c r="G790" i="5"/>
  <c r="F790" i="5"/>
  <c r="E790" i="5"/>
  <c r="D790" i="5"/>
  <c r="C790" i="5"/>
  <c r="B790" i="5"/>
  <c r="I789" i="5"/>
  <c r="H789" i="5"/>
  <c r="G789" i="5"/>
  <c r="F789" i="5"/>
  <c r="E789" i="5"/>
  <c r="D789" i="5"/>
  <c r="C789" i="5"/>
  <c r="B789" i="5"/>
  <c r="I788" i="5"/>
  <c r="H788" i="5"/>
  <c r="G788" i="5"/>
  <c r="F788" i="5"/>
  <c r="E788" i="5"/>
  <c r="D788" i="5"/>
  <c r="C788" i="5"/>
  <c r="B788" i="5"/>
  <c r="I787" i="5"/>
  <c r="H787" i="5"/>
  <c r="G787" i="5"/>
  <c r="F787" i="5"/>
  <c r="E787" i="5"/>
  <c r="D787" i="5"/>
  <c r="C787" i="5"/>
  <c r="B787" i="5"/>
  <c r="I786" i="5"/>
  <c r="H786" i="5"/>
  <c r="G786" i="5"/>
  <c r="F786" i="5"/>
  <c r="E786" i="5"/>
  <c r="D786" i="5"/>
  <c r="C786" i="5"/>
  <c r="B786" i="5"/>
  <c r="I785" i="5"/>
  <c r="H785" i="5"/>
  <c r="G785" i="5"/>
  <c r="F785" i="5"/>
  <c r="E785" i="5"/>
  <c r="D785" i="5"/>
  <c r="C785" i="5"/>
  <c r="B785" i="5"/>
  <c r="I784" i="5"/>
  <c r="H784" i="5"/>
  <c r="G784" i="5"/>
  <c r="F784" i="5"/>
  <c r="E784" i="5"/>
  <c r="D784" i="5"/>
  <c r="C784" i="5"/>
  <c r="B784" i="5"/>
  <c r="I783" i="5"/>
  <c r="H783" i="5"/>
  <c r="G783" i="5"/>
  <c r="F783" i="5"/>
  <c r="E783" i="5"/>
  <c r="D783" i="5"/>
  <c r="C783" i="5"/>
  <c r="B783" i="5"/>
  <c r="I782" i="5"/>
  <c r="H782" i="5"/>
  <c r="G782" i="5"/>
  <c r="F782" i="5"/>
  <c r="E782" i="5"/>
  <c r="D782" i="5"/>
  <c r="C782" i="5"/>
  <c r="B782" i="5"/>
  <c r="I781" i="5"/>
  <c r="H781" i="5"/>
  <c r="G781" i="5"/>
  <c r="F781" i="5"/>
  <c r="E781" i="5"/>
  <c r="D781" i="5"/>
  <c r="C781" i="5"/>
  <c r="B781" i="5"/>
  <c r="I780" i="5"/>
  <c r="H780" i="5"/>
  <c r="G780" i="5"/>
  <c r="F780" i="5"/>
  <c r="E780" i="5"/>
  <c r="D780" i="5"/>
  <c r="C780" i="5"/>
  <c r="B780" i="5"/>
  <c r="I779" i="5"/>
  <c r="H779" i="5"/>
  <c r="G779" i="5"/>
  <c r="F779" i="5"/>
  <c r="E779" i="5"/>
  <c r="D779" i="5"/>
  <c r="C779" i="5"/>
  <c r="B779" i="5"/>
  <c r="I778" i="5"/>
  <c r="H778" i="5"/>
  <c r="G778" i="5"/>
  <c r="F778" i="5"/>
  <c r="E778" i="5"/>
  <c r="D778" i="5"/>
  <c r="C778" i="5"/>
  <c r="B778" i="5"/>
  <c r="I777" i="5"/>
  <c r="H777" i="5"/>
  <c r="G777" i="5"/>
  <c r="F777" i="5"/>
  <c r="E777" i="5"/>
  <c r="D777" i="5"/>
  <c r="C777" i="5"/>
  <c r="B777" i="5"/>
  <c r="I776" i="5"/>
  <c r="H776" i="5"/>
  <c r="G776" i="5"/>
  <c r="F776" i="5"/>
  <c r="E776" i="5"/>
  <c r="D776" i="5"/>
  <c r="C776" i="5"/>
  <c r="B776" i="5"/>
  <c r="I775" i="5"/>
  <c r="H775" i="5"/>
  <c r="G775" i="5"/>
  <c r="F775" i="5"/>
  <c r="E775" i="5"/>
  <c r="D775" i="5"/>
  <c r="C775" i="5"/>
  <c r="B775" i="5"/>
  <c r="I774" i="5"/>
  <c r="H774" i="5"/>
  <c r="G774" i="5"/>
  <c r="F774" i="5"/>
  <c r="E774" i="5"/>
  <c r="D774" i="5"/>
  <c r="C774" i="5"/>
  <c r="B774" i="5"/>
  <c r="I773" i="5"/>
  <c r="H773" i="5"/>
  <c r="G773" i="5"/>
  <c r="F773" i="5"/>
  <c r="E773" i="5"/>
  <c r="D773" i="5"/>
  <c r="C773" i="5"/>
  <c r="B773" i="5"/>
  <c r="I772" i="5"/>
  <c r="H772" i="5"/>
  <c r="G772" i="5"/>
  <c r="F772" i="5"/>
  <c r="E772" i="5"/>
  <c r="D772" i="5"/>
  <c r="C772" i="5"/>
  <c r="B772" i="5"/>
  <c r="I771" i="5"/>
  <c r="H771" i="5"/>
  <c r="G771" i="5"/>
  <c r="F771" i="5"/>
  <c r="E771" i="5"/>
  <c r="D771" i="5"/>
  <c r="C771" i="5"/>
  <c r="B771" i="5"/>
  <c r="I770" i="5"/>
  <c r="H770" i="5"/>
  <c r="G770" i="5"/>
  <c r="F770" i="5"/>
  <c r="E770" i="5"/>
  <c r="D770" i="5"/>
  <c r="C770" i="5"/>
  <c r="B770" i="5"/>
  <c r="I769" i="5"/>
  <c r="H769" i="5"/>
  <c r="G769" i="5"/>
  <c r="F769" i="5"/>
  <c r="E769" i="5"/>
  <c r="D769" i="5"/>
  <c r="C769" i="5"/>
  <c r="B769" i="5"/>
  <c r="I768" i="5"/>
  <c r="H768" i="5"/>
  <c r="G768" i="5"/>
  <c r="F768" i="5"/>
  <c r="E768" i="5"/>
  <c r="D768" i="5"/>
  <c r="C768" i="5"/>
  <c r="B768" i="5"/>
  <c r="I767" i="5"/>
  <c r="H767" i="5"/>
  <c r="G767" i="5"/>
  <c r="F767" i="5"/>
  <c r="E767" i="5"/>
  <c r="D767" i="5"/>
  <c r="C767" i="5"/>
  <c r="B767" i="5"/>
  <c r="I766" i="5"/>
  <c r="G766" i="5"/>
  <c r="F766" i="5"/>
  <c r="E766" i="5"/>
  <c r="D766" i="5"/>
  <c r="C766" i="5"/>
  <c r="B766" i="5"/>
  <c r="I765" i="5"/>
  <c r="G765" i="5"/>
  <c r="F765" i="5"/>
  <c r="E765" i="5"/>
  <c r="D765" i="5"/>
  <c r="C765" i="5"/>
  <c r="B765" i="5"/>
  <c r="I764" i="5"/>
  <c r="G764" i="5"/>
  <c r="F764" i="5"/>
  <c r="E764" i="5"/>
  <c r="D764" i="5"/>
  <c r="C764" i="5"/>
  <c r="B764" i="5"/>
  <c r="I763" i="5"/>
  <c r="H763" i="5"/>
  <c r="G763" i="5"/>
  <c r="F763" i="5"/>
  <c r="E763" i="5"/>
  <c r="D763" i="5"/>
  <c r="C763" i="5"/>
  <c r="B763" i="5"/>
  <c r="I762" i="5"/>
  <c r="H762" i="5"/>
  <c r="G762" i="5"/>
  <c r="F762" i="5"/>
  <c r="E762" i="5"/>
  <c r="D762" i="5"/>
  <c r="C762" i="5"/>
  <c r="B762" i="5"/>
  <c r="I761" i="5"/>
  <c r="H761" i="5"/>
  <c r="G761" i="5"/>
  <c r="F761" i="5"/>
  <c r="E761" i="5"/>
  <c r="D761" i="5"/>
  <c r="C761" i="5"/>
  <c r="B761" i="5"/>
  <c r="I760" i="5"/>
  <c r="H760" i="5"/>
  <c r="G760" i="5"/>
  <c r="F760" i="5"/>
  <c r="E760" i="5"/>
  <c r="D760" i="5"/>
  <c r="C760" i="5"/>
  <c r="B760" i="5"/>
  <c r="I759" i="5"/>
  <c r="H759" i="5"/>
  <c r="G759" i="5"/>
  <c r="F759" i="5"/>
  <c r="E759" i="5"/>
  <c r="D759" i="5"/>
  <c r="C759" i="5"/>
  <c r="B759" i="5"/>
  <c r="I758" i="5"/>
  <c r="H758" i="5"/>
  <c r="G758" i="5"/>
  <c r="F758" i="5"/>
  <c r="E758" i="5"/>
  <c r="D758" i="5"/>
  <c r="C758" i="5"/>
  <c r="B758" i="5"/>
  <c r="I757" i="5"/>
  <c r="H757" i="5"/>
  <c r="G757" i="5"/>
  <c r="F757" i="5"/>
  <c r="E757" i="5"/>
  <c r="D757" i="5"/>
  <c r="C757" i="5"/>
  <c r="B757" i="5"/>
  <c r="I756" i="5"/>
  <c r="H756" i="5"/>
  <c r="G756" i="5"/>
  <c r="F756" i="5"/>
  <c r="E756" i="5"/>
  <c r="D756" i="5"/>
  <c r="C756" i="5"/>
  <c r="B756" i="5"/>
  <c r="I755" i="5"/>
  <c r="H755" i="5"/>
  <c r="G755" i="5"/>
  <c r="F755" i="5"/>
  <c r="E755" i="5"/>
  <c r="D755" i="5"/>
  <c r="C755" i="5"/>
  <c r="B755" i="5"/>
  <c r="I754" i="5"/>
  <c r="H754" i="5"/>
  <c r="G754" i="5"/>
  <c r="F754" i="5"/>
  <c r="E754" i="5"/>
  <c r="D754" i="5"/>
  <c r="C754" i="5"/>
  <c r="B754" i="5"/>
  <c r="I753" i="5"/>
  <c r="H753" i="5"/>
  <c r="G753" i="5"/>
  <c r="F753" i="5"/>
  <c r="E753" i="5"/>
  <c r="D753" i="5"/>
  <c r="C753" i="5"/>
  <c r="B753" i="5"/>
  <c r="I752" i="5"/>
  <c r="H752" i="5"/>
  <c r="G752" i="5"/>
  <c r="F752" i="5"/>
  <c r="E752" i="5"/>
  <c r="D752" i="5"/>
  <c r="C752" i="5"/>
  <c r="B752" i="5"/>
  <c r="I751" i="5"/>
  <c r="H751" i="5"/>
  <c r="G751" i="5"/>
  <c r="F751" i="5"/>
  <c r="E751" i="5"/>
  <c r="D751" i="5"/>
  <c r="C751" i="5"/>
  <c r="B751" i="5"/>
  <c r="I750" i="5"/>
  <c r="G750" i="5"/>
  <c r="F750" i="5"/>
  <c r="E750" i="5"/>
  <c r="D750" i="5"/>
  <c r="C750" i="5"/>
  <c r="B750" i="5"/>
  <c r="I749" i="5"/>
  <c r="H749" i="5"/>
  <c r="G749" i="5"/>
  <c r="F749" i="5"/>
  <c r="E749" i="5"/>
  <c r="D749" i="5"/>
  <c r="C749" i="5"/>
  <c r="B749" i="5"/>
  <c r="I748" i="5"/>
  <c r="H748" i="5"/>
  <c r="G748" i="5"/>
  <c r="F748" i="5"/>
  <c r="E748" i="5"/>
  <c r="D748" i="5"/>
  <c r="C748" i="5"/>
  <c r="B748" i="5"/>
  <c r="I747" i="5"/>
  <c r="H747" i="5"/>
  <c r="G747" i="5"/>
  <c r="F747" i="5"/>
  <c r="E747" i="5"/>
  <c r="D747" i="5"/>
  <c r="C747" i="5"/>
  <c r="B747" i="5"/>
  <c r="I746" i="5"/>
  <c r="H746" i="5"/>
  <c r="G746" i="5"/>
  <c r="F746" i="5"/>
  <c r="E746" i="5"/>
  <c r="D746" i="5"/>
  <c r="C746" i="5"/>
  <c r="B746" i="5"/>
  <c r="I745" i="5"/>
  <c r="H745" i="5"/>
  <c r="G745" i="5"/>
  <c r="F745" i="5"/>
  <c r="E745" i="5"/>
  <c r="D745" i="5"/>
  <c r="C745" i="5"/>
  <c r="B745" i="5"/>
  <c r="I744" i="5"/>
  <c r="H744" i="5"/>
  <c r="G744" i="5"/>
  <c r="F744" i="5"/>
  <c r="E744" i="5"/>
  <c r="D744" i="5"/>
  <c r="C744" i="5"/>
  <c r="B744" i="5"/>
  <c r="I743" i="5"/>
  <c r="H743" i="5"/>
  <c r="G743" i="5"/>
  <c r="F743" i="5"/>
  <c r="E743" i="5"/>
  <c r="D743" i="5"/>
  <c r="C743" i="5"/>
  <c r="B743" i="5"/>
  <c r="I742" i="5"/>
  <c r="H742" i="5"/>
  <c r="G742" i="5"/>
  <c r="F742" i="5"/>
  <c r="E742" i="5"/>
  <c r="D742" i="5"/>
  <c r="C742" i="5"/>
  <c r="B742" i="5"/>
  <c r="I741" i="5"/>
  <c r="H741" i="5"/>
  <c r="G741" i="5"/>
  <c r="F741" i="5"/>
  <c r="E741" i="5"/>
  <c r="D741" i="5"/>
  <c r="C741" i="5"/>
  <c r="B741" i="5"/>
  <c r="I740" i="5"/>
  <c r="H740" i="5"/>
  <c r="G740" i="5"/>
  <c r="F740" i="5"/>
  <c r="E740" i="5"/>
  <c r="D740" i="5"/>
  <c r="C740" i="5"/>
  <c r="B740" i="5"/>
  <c r="I739" i="5"/>
  <c r="H739" i="5"/>
  <c r="G739" i="5"/>
  <c r="F739" i="5"/>
  <c r="E739" i="5"/>
  <c r="D739" i="5"/>
  <c r="C739" i="5"/>
  <c r="B739" i="5"/>
  <c r="I738" i="5"/>
  <c r="H738" i="5"/>
  <c r="G738" i="5"/>
  <c r="F738" i="5"/>
  <c r="E738" i="5"/>
  <c r="D738" i="5"/>
  <c r="C738" i="5"/>
  <c r="B738" i="5"/>
  <c r="I737" i="5"/>
  <c r="H737" i="5"/>
  <c r="G737" i="5"/>
  <c r="F737" i="5"/>
  <c r="E737" i="5"/>
  <c r="D737" i="5"/>
  <c r="C737" i="5"/>
  <c r="B737" i="5"/>
  <c r="I736" i="5"/>
  <c r="H736" i="5"/>
  <c r="G736" i="5"/>
  <c r="F736" i="5"/>
  <c r="E736" i="5"/>
  <c r="D736" i="5"/>
  <c r="C736" i="5"/>
  <c r="B736" i="5"/>
  <c r="I735" i="5"/>
  <c r="H735" i="5"/>
  <c r="G735" i="5"/>
  <c r="F735" i="5"/>
  <c r="E735" i="5"/>
  <c r="D735" i="5"/>
  <c r="C735" i="5"/>
  <c r="B735" i="5"/>
  <c r="I734" i="5"/>
  <c r="H734" i="5"/>
  <c r="G734" i="5"/>
  <c r="F734" i="5"/>
  <c r="E734" i="5"/>
  <c r="D734" i="5"/>
  <c r="C734" i="5"/>
  <c r="B734" i="5"/>
  <c r="I733" i="5"/>
  <c r="H733" i="5"/>
  <c r="G733" i="5"/>
  <c r="F733" i="5"/>
  <c r="E733" i="5"/>
  <c r="D733" i="5"/>
  <c r="C733" i="5"/>
  <c r="B733" i="5"/>
  <c r="I732" i="5"/>
  <c r="H732" i="5"/>
  <c r="G732" i="5"/>
  <c r="F732" i="5"/>
  <c r="E732" i="5"/>
  <c r="D732" i="5"/>
  <c r="C732" i="5"/>
  <c r="B732" i="5"/>
  <c r="I731" i="5"/>
  <c r="H731" i="5"/>
  <c r="G731" i="5"/>
  <c r="F731" i="5"/>
  <c r="E731" i="5"/>
  <c r="D731" i="5"/>
  <c r="C731" i="5"/>
  <c r="B731" i="5"/>
  <c r="I730" i="5"/>
  <c r="H730" i="5"/>
  <c r="G730" i="5"/>
  <c r="F730" i="5"/>
  <c r="E730" i="5"/>
  <c r="D730" i="5"/>
  <c r="C730" i="5"/>
  <c r="B730" i="5"/>
  <c r="I729" i="5"/>
  <c r="H729" i="5"/>
  <c r="G729" i="5"/>
  <c r="F729" i="5"/>
  <c r="E729" i="5"/>
  <c r="D729" i="5"/>
  <c r="C729" i="5"/>
  <c r="B729" i="5"/>
  <c r="I728" i="5"/>
  <c r="H728" i="5"/>
  <c r="G728" i="5"/>
  <c r="F728" i="5"/>
  <c r="E728" i="5"/>
  <c r="D728" i="5"/>
  <c r="C728" i="5"/>
  <c r="B728" i="5"/>
  <c r="I727" i="5"/>
  <c r="H727" i="5"/>
  <c r="G727" i="5"/>
  <c r="F727" i="5"/>
  <c r="E727" i="5"/>
  <c r="D727" i="5"/>
  <c r="C727" i="5"/>
  <c r="B727" i="5"/>
  <c r="I726" i="5"/>
  <c r="H726" i="5"/>
  <c r="G726" i="5"/>
  <c r="F726" i="5"/>
  <c r="E726" i="5"/>
  <c r="D726" i="5"/>
  <c r="C726" i="5"/>
  <c r="B726" i="5"/>
  <c r="I725" i="5"/>
  <c r="H725" i="5"/>
  <c r="G725" i="5"/>
  <c r="F725" i="5"/>
  <c r="E725" i="5"/>
  <c r="D725" i="5"/>
  <c r="C725" i="5"/>
  <c r="B725" i="5"/>
  <c r="I724" i="5"/>
  <c r="H724" i="5"/>
  <c r="G724" i="5"/>
  <c r="F724" i="5"/>
  <c r="E724" i="5"/>
  <c r="D724" i="5"/>
  <c r="C724" i="5"/>
  <c r="B724" i="5"/>
  <c r="I723" i="5"/>
  <c r="H723" i="5"/>
  <c r="G723" i="5"/>
  <c r="F723" i="5"/>
  <c r="E723" i="5"/>
  <c r="D723" i="5"/>
  <c r="C723" i="5"/>
  <c r="B723" i="5"/>
  <c r="I722" i="5"/>
  <c r="H722" i="5"/>
  <c r="G722" i="5"/>
  <c r="F722" i="5"/>
  <c r="E722" i="5"/>
  <c r="D722" i="5"/>
  <c r="C722" i="5"/>
  <c r="B722" i="5"/>
  <c r="I721" i="5"/>
  <c r="H721" i="5"/>
  <c r="G721" i="5"/>
  <c r="F721" i="5"/>
  <c r="E721" i="5"/>
  <c r="D721" i="5"/>
  <c r="C721" i="5"/>
  <c r="B721" i="5"/>
  <c r="I720" i="5"/>
  <c r="H720" i="5"/>
  <c r="G720" i="5"/>
  <c r="F720" i="5"/>
  <c r="E720" i="5"/>
  <c r="D720" i="5"/>
  <c r="C720" i="5"/>
  <c r="B720" i="5"/>
  <c r="I719" i="5"/>
  <c r="H719" i="5"/>
  <c r="G719" i="5"/>
  <c r="F719" i="5"/>
  <c r="E719" i="5"/>
  <c r="D719" i="5"/>
  <c r="C719" i="5"/>
  <c r="B719" i="5"/>
  <c r="I718" i="5"/>
  <c r="H718" i="5"/>
  <c r="G718" i="5"/>
  <c r="F718" i="5"/>
  <c r="E718" i="5"/>
  <c r="D718" i="5"/>
  <c r="C718" i="5"/>
  <c r="B718" i="5"/>
  <c r="I717" i="5"/>
  <c r="H717" i="5"/>
  <c r="G717" i="5"/>
  <c r="F717" i="5"/>
  <c r="E717" i="5"/>
  <c r="D717" i="5"/>
  <c r="C717" i="5"/>
  <c r="B717" i="5"/>
  <c r="I716" i="5"/>
  <c r="H716" i="5"/>
  <c r="G716" i="5"/>
  <c r="F716" i="5"/>
  <c r="E716" i="5"/>
  <c r="D716" i="5"/>
  <c r="C716" i="5"/>
  <c r="B716" i="5"/>
  <c r="I715" i="5"/>
  <c r="H715" i="5"/>
  <c r="G715" i="5"/>
  <c r="F715" i="5"/>
  <c r="E715" i="5"/>
  <c r="D715" i="5"/>
  <c r="C715" i="5"/>
  <c r="B715" i="5"/>
  <c r="I714" i="5"/>
  <c r="F714" i="5"/>
  <c r="E714" i="5"/>
  <c r="D714" i="5"/>
  <c r="C714" i="5"/>
  <c r="B714" i="5"/>
  <c r="I713" i="5"/>
  <c r="H713" i="5"/>
  <c r="G713" i="5"/>
  <c r="F713" i="5"/>
  <c r="E713" i="5"/>
  <c r="D713" i="5"/>
  <c r="C713" i="5"/>
  <c r="B713" i="5"/>
  <c r="I712" i="5"/>
  <c r="H712" i="5"/>
  <c r="G712" i="5"/>
  <c r="F712" i="5"/>
  <c r="E712" i="5"/>
  <c r="D712" i="5"/>
  <c r="C712" i="5"/>
  <c r="B712" i="5"/>
  <c r="I711" i="5"/>
  <c r="H711" i="5"/>
  <c r="G711" i="5"/>
  <c r="F711" i="5"/>
  <c r="E711" i="5"/>
  <c r="D711" i="5"/>
  <c r="C711" i="5"/>
  <c r="B711" i="5"/>
  <c r="I710" i="5"/>
  <c r="H710" i="5"/>
  <c r="G710" i="5"/>
  <c r="F710" i="5"/>
  <c r="E710" i="5"/>
  <c r="D710" i="5"/>
  <c r="C710" i="5"/>
  <c r="B710" i="5"/>
  <c r="I709" i="5"/>
  <c r="H709" i="5"/>
  <c r="G709" i="5"/>
  <c r="F709" i="5"/>
  <c r="E709" i="5"/>
  <c r="D709" i="5"/>
  <c r="C709" i="5"/>
  <c r="B709" i="5"/>
  <c r="I708" i="5"/>
  <c r="H708" i="5"/>
  <c r="G708" i="5"/>
  <c r="F708" i="5"/>
  <c r="E708" i="5"/>
  <c r="D708" i="5"/>
  <c r="C708" i="5"/>
  <c r="B708" i="5"/>
  <c r="I707" i="5"/>
  <c r="H707" i="5"/>
  <c r="G707" i="5"/>
  <c r="F707" i="5"/>
  <c r="E707" i="5"/>
  <c r="D707" i="5"/>
  <c r="C707" i="5"/>
  <c r="B707" i="5"/>
  <c r="I706" i="5"/>
  <c r="H706" i="5"/>
  <c r="G706" i="5"/>
  <c r="F706" i="5"/>
  <c r="E706" i="5"/>
  <c r="D706" i="5"/>
  <c r="C706" i="5"/>
  <c r="B706" i="5"/>
  <c r="I705" i="5"/>
  <c r="H705" i="5"/>
  <c r="G705" i="5"/>
  <c r="F705" i="5"/>
  <c r="E705" i="5"/>
  <c r="D705" i="5"/>
  <c r="C705" i="5"/>
  <c r="B705" i="5"/>
  <c r="I704" i="5"/>
  <c r="H704" i="5"/>
  <c r="G704" i="5"/>
  <c r="F704" i="5"/>
  <c r="E704" i="5"/>
  <c r="D704" i="5"/>
  <c r="C704" i="5"/>
  <c r="B704" i="5"/>
  <c r="I703" i="5"/>
  <c r="H703" i="5"/>
  <c r="G703" i="5"/>
  <c r="F703" i="5"/>
  <c r="E703" i="5"/>
  <c r="D703" i="5"/>
  <c r="C703" i="5"/>
  <c r="B703" i="5"/>
  <c r="I702" i="5"/>
  <c r="H702" i="5"/>
  <c r="G702" i="5"/>
  <c r="F702" i="5"/>
  <c r="E702" i="5"/>
  <c r="D702" i="5"/>
  <c r="C702" i="5"/>
  <c r="B702" i="5"/>
  <c r="I701" i="5"/>
  <c r="H701" i="5"/>
  <c r="G701" i="5"/>
  <c r="F701" i="5"/>
  <c r="E701" i="5"/>
  <c r="D701" i="5"/>
  <c r="C701" i="5"/>
  <c r="B701" i="5"/>
  <c r="I700" i="5"/>
  <c r="H700" i="5"/>
  <c r="G700" i="5"/>
  <c r="F700" i="5"/>
  <c r="E700" i="5"/>
  <c r="D700" i="5"/>
  <c r="C700" i="5"/>
  <c r="B700" i="5"/>
  <c r="I699" i="5"/>
  <c r="H699" i="5"/>
  <c r="G699" i="5"/>
  <c r="F699" i="5"/>
  <c r="E699" i="5"/>
  <c r="D699" i="5"/>
  <c r="C699" i="5"/>
  <c r="B699" i="5"/>
  <c r="I698" i="5"/>
  <c r="H698" i="5"/>
  <c r="G698" i="5"/>
  <c r="F698" i="5"/>
  <c r="E698" i="5"/>
  <c r="D698" i="5"/>
  <c r="C698" i="5"/>
  <c r="B698" i="5"/>
  <c r="I697" i="5"/>
  <c r="H697" i="5"/>
  <c r="G697" i="5"/>
  <c r="F697" i="5"/>
  <c r="E697" i="5"/>
  <c r="D697" i="5"/>
  <c r="C697" i="5"/>
  <c r="B697" i="5"/>
  <c r="I696" i="5"/>
  <c r="H696" i="5"/>
  <c r="G696" i="5"/>
  <c r="F696" i="5"/>
  <c r="E696" i="5"/>
  <c r="D696" i="5"/>
  <c r="C696" i="5"/>
  <c r="B696" i="5"/>
  <c r="I695" i="5"/>
  <c r="H695" i="5"/>
  <c r="G695" i="5"/>
  <c r="F695" i="5"/>
  <c r="E695" i="5"/>
  <c r="D695" i="5"/>
  <c r="C695" i="5"/>
  <c r="B695" i="5"/>
  <c r="I694" i="5"/>
  <c r="H694" i="5"/>
  <c r="G694" i="5"/>
  <c r="F694" i="5"/>
  <c r="E694" i="5"/>
  <c r="D694" i="5"/>
  <c r="C694" i="5"/>
  <c r="B694" i="5"/>
  <c r="I693" i="5"/>
  <c r="H693" i="5"/>
  <c r="G693" i="5"/>
  <c r="F693" i="5"/>
  <c r="E693" i="5"/>
  <c r="D693" i="5"/>
  <c r="C693" i="5"/>
  <c r="B693" i="5"/>
  <c r="I692" i="5"/>
  <c r="H692" i="5"/>
  <c r="G692" i="5"/>
  <c r="F692" i="5"/>
  <c r="E692" i="5"/>
  <c r="D692" i="5"/>
  <c r="C692" i="5"/>
  <c r="B692" i="5"/>
  <c r="I691" i="5"/>
  <c r="H691" i="5"/>
  <c r="G691" i="5"/>
  <c r="F691" i="5"/>
  <c r="E691" i="5"/>
  <c r="D691" i="5"/>
  <c r="C691" i="5"/>
  <c r="B691" i="5"/>
  <c r="I690" i="5"/>
  <c r="H690" i="5"/>
  <c r="G690" i="5"/>
  <c r="F690" i="5"/>
  <c r="E690" i="5"/>
  <c r="D690" i="5"/>
  <c r="C690" i="5"/>
  <c r="B690" i="5"/>
  <c r="I689" i="5"/>
  <c r="H689" i="5"/>
  <c r="G689" i="5"/>
  <c r="F689" i="5"/>
  <c r="E689" i="5"/>
  <c r="D689" i="5"/>
  <c r="C689" i="5"/>
  <c r="B689" i="5"/>
  <c r="I688" i="5"/>
  <c r="H688" i="5"/>
  <c r="G688" i="5"/>
  <c r="F688" i="5"/>
  <c r="E688" i="5"/>
  <c r="D688" i="5"/>
  <c r="C688" i="5"/>
  <c r="B688" i="5"/>
  <c r="I687" i="5"/>
  <c r="H687" i="5"/>
  <c r="G687" i="5"/>
  <c r="F687" i="5"/>
  <c r="E687" i="5"/>
  <c r="D687" i="5"/>
  <c r="C687" i="5"/>
  <c r="B687" i="5"/>
  <c r="I686" i="5"/>
  <c r="H686" i="5"/>
  <c r="G686" i="5"/>
  <c r="F686" i="5"/>
  <c r="E686" i="5"/>
  <c r="D686" i="5"/>
  <c r="C686" i="5"/>
  <c r="B686" i="5"/>
  <c r="I685" i="5"/>
  <c r="H685" i="5"/>
  <c r="G685" i="5"/>
  <c r="F685" i="5"/>
  <c r="E685" i="5"/>
  <c r="D685" i="5"/>
  <c r="C685" i="5"/>
  <c r="B685" i="5"/>
  <c r="I684" i="5"/>
  <c r="H684" i="5"/>
  <c r="G684" i="5"/>
  <c r="F684" i="5"/>
  <c r="E684" i="5"/>
  <c r="D684" i="5"/>
  <c r="C684" i="5"/>
  <c r="B684" i="5"/>
  <c r="I683" i="5"/>
  <c r="H683" i="5"/>
  <c r="G683" i="5"/>
  <c r="F683" i="5"/>
  <c r="E683" i="5"/>
  <c r="D683" i="5"/>
  <c r="C683" i="5"/>
  <c r="B683" i="5"/>
  <c r="I682" i="5"/>
  <c r="H682" i="5"/>
  <c r="G682" i="5"/>
  <c r="F682" i="5"/>
  <c r="E682" i="5"/>
  <c r="D682" i="5"/>
  <c r="C682" i="5"/>
  <c r="B682" i="5"/>
  <c r="I681" i="5"/>
  <c r="H681" i="5"/>
  <c r="G681" i="5"/>
  <c r="F681" i="5"/>
  <c r="E681" i="5"/>
  <c r="D681" i="5"/>
  <c r="C681" i="5"/>
  <c r="B681" i="5"/>
  <c r="I680" i="5"/>
  <c r="H680" i="5"/>
  <c r="G680" i="5"/>
  <c r="F680" i="5"/>
  <c r="E680" i="5"/>
  <c r="D680" i="5"/>
  <c r="C680" i="5"/>
  <c r="B680" i="5"/>
  <c r="I679" i="5"/>
  <c r="H679" i="5"/>
  <c r="G679" i="5"/>
  <c r="F679" i="5"/>
  <c r="E679" i="5"/>
  <c r="D679" i="5"/>
  <c r="C679" i="5"/>
  <c r="B679" i="5"/>
  <c r="I678" i="5"/>
  <c r="H678" i="5"/>
  <c r="G678" i="5"/>
  <c r="F678" i="5"/>
  <c r="E678" i="5"/>
  <c r="D678" i="5"/>
  <c r="C678" i="5"/>
  <c r="B678" i="5"/>
  <c r="I677" i="5"/>
  <c r="H677" i="5"/>
  <c r="G677" i="5"/>
  <c r="F677" i="5"/>
  <c r="E677" i="5"/>
  <c r="D677" i="5"/>
  <c r="C677" i="5"/>
  <c r="B677" i="5"/>
  <c r="I676" i="5"/>
  <c r="H676" i="5"/>
  <c r="G676" i="5"/>
  <c r="F676" i="5"/>
  <c r="E676" i="5"/>
  <c r="D676" i="5"/>
  <c r="C676" i="5"/>
  <c r="B676" i="5"/>
  <c r="I675" i="5"/>
  <c r="H675" i="5"/>
  <c r="G675" i="5"/>
  <c r="F675" i="5"/>
  <c r="E675" i="5"/>
  <c r="D675" i="5"/>
  <c r="C675" i="5"/>
  <c r="B675" i="5"/>
  <c r="I674" i="5"/>
  <c r="H674" i="5"/>
  <c r="G674" i="5"/>
  <c r="F674" i="5"/>
  <c r="E674" i="5"/>
  <c r="D674" i="5"/>
  <c r="C674" i="5"/>
  <c r="B674" i="5"/>
  <c r="I673" i="5"/>
  <c r="H673" i="5"/>
  <c r="G673" i="5"/>
  <c r="F673" i="5"/>
  <c r="E673" i="5"/>
  <c r="D673" i="5"/>
  <c r="C673" i="5"/>
  <c r="B673" i="5"/>
  <c r="I672" i="5"/>
  <c r="H672" i="5"/>
  <c r="G672" i="5"/>
  <c r="F672" i="5"/>
  <c r="E672" i="5"/>
  <c r="D672" i="5"/>
  <c r="C672" i="5"/>
  <c r="B672" i="5"/>
  <c r="I671" i="5"/>
  <c r="H671" i="5"/>
  <c r="G671" i="5"/>
  <c r="F671" i="5"/>
  <c r="E671" i="5"/>
  <c r="D671" i="5"/>
  <c r="C671" i="5"/>
  <c r="B671" i="5"/>
  <c r="I670" i="5"/>
  <c r="H670" i="5"/>
  <c r="G670" i="5"/>
  <c r="F670" i="5"/>
  <c r="E670" i="5"/>
  <c r="D670" i="5"/>
  <c r="C670" i="5"/>
  <c r="B670" i="5"/>
  <c r="I669" i="5"/>
  <c r="H669" i="5"/>
  <c r="G669" i="5"/>
  <c r="F669" i="5"/>
  <c r="E669" i="5"/>
  <c r="D669" i="5"/>
  <c r="C669" i="5"/>
  <c r="B669" i="5"/>
  <c r="I668" i="5"/>
  <c r="H668" i="5"/>
  <c r="G668" i="5"/>
  <c r="F668" i="5"/>
  <c r="E668" i="5"/>
  <c r="D668" i="5"/>
  <c r="C668" i="5"/>
  <c r="B668" i="5"/>
  <c r="I667" i="5"/>
  <c r="H667" i="5"/>
  <c r="G667" i="5"/>
  <c r="F667" i="5"/>
  <c r="E667" i="5"/>
  <c r="D667" i="5"/>
  <c r="C667" i="5"/>
  <c r="B667" i="5"/>
  <c r="I666" i="5"/>
  <c r="H666" i="5"/>
  <c r="G666" i="5"/>
  <c r="F666" i="5"/>
  <c r="E666" i="5"/>
  <c r="D666" i="5"/>
  <c r="C666" i="5"/>
  <c r="B666" i="5"/>
  <c r="I665" i="5"/>
  <c r="H665" i="5"/>
  <c r="G665" i="5"/>
  <c r="F665" i="5"/>
  <c r="E665" i="5"/>
  <c r="D665" i="5"/>
  <c r="C665" i="5"/>
  <c r="B665" i="5"/>
  <c r="I664" i="5"/>
  <c r="H664" i="5"/>
  <c r="G664" i="5"/>
  <c r="F664" i="5"/>
  <c r="E664" i="5"/>
  <c r="D664" i="5"/>
  <c r="C664" i="5"/>
  <c r="B664" i="5"/>
  <c r="I663" i="5"/>
  <c r="H663" i="5"/>
  <c r="G663" i="5"/>
  <c r="F663" i="5"/>
  <c r="E663" i="5"/>
  <c r="D663" i="5"/>
  <c r="C663" i="5"/>
  <c r="B663" i="5"/>
  <c r="I662" i="5"/>
  <c r="H662" i="5"/>
  <c r="G662" i="5"/>
  <c r="F662" i="5"/>
  <c r="E662" i="5"/>
  <c r="D662" i="5"/>
  <c r="C662" i="5"/>
  <c r="B662" i="5"/>
  <c r="I661" i="5"/>
  <c r="H661" i="5"/>
  <c r="G661" i="5"/>
  <c r="F661" i="5"/>
  <c r="E661" i="5"/>
  <c r="D661" i="5"/>
  <c r="C661" i="5"/>
  <c r="B661" i="5"/>
  <c r="I660" i="5"/>
  <c r="H660" i="5"/>
  <c r="G660" i="5"/>
  <c r="F660" i="5"/>
  <c r="E660" i="5"/>
  <c r="D660" i="5"/>
  <c r="C660" i="5"/>
  <c r="B660" i="5"/>
  <c r="I659" i="5"/>
  <c r="H659" i="5"/>
  <c r="G659" i="5"/>
  <c r="F659" i="5"/>
  <c r="E659" i="5"/>
  <c r="D659" i="5"/>
  <c r="C659" i="5"/>
  <c r="B659" i="5"/>
  <c r="I658" i="5"/>
  <c r="H658" i="5"/>
  <c r="G658" i="5"/>
  <c r="F658" i="5"/>
  <c r="E658" i="5"/>
  <c r="D658" i="5"/>
  <c r="C658" i="5"/>
  <c r="B658" i="5"/>
  <c r="I657" i="5"/>
  <c r="H657" i="5"/>
  <c r="G657" i="5"/>
  <c r="F657" i="5"/>
  <c r="E657" i="5"/>
  <c r="D657" i="5"/>
  <c r="C657" i="5"/>
  <c r="B657" i="5"/>
  <c r="I656" i="5"/>
  <c r="H656" i="5"/>
  <c r="G656" i="5"/>
  <c r="F656" i="5"/>
  <c r="E656" i="5"/>
  <c r="D656" i="5"/>
  <c r="C656" i="5"/>
  <c r="B656" i="5"/>
  <c r="I655" i="5"/>
  <c r="H655" i="5"/>
  <c r="G655" i="5"/>
  <c r="F655" i="5"/>
  <c r="E655" i="5"/>
  <c r="D655" i="5"/>
  <c r="C655" i="5"/>
  <c r="B655" i="5"/>
  <c r="I654" i="5"/>
  <c r="H654" i="5"/>
  <c r="G654" i="5"/>
  <c r="F654" i="5"/>
  <c r="E654" i="5"/>
  <c r="D654" i="5"/>
  <c r="C654" i="5"/>
  <c r="B654" i="5"/>
  <c r="I653" i="5"/>
  <c r="H653" i="5"/>
  <c r="G653" i="5"/>
  <c r="F653" i="5"/>
  <c r="E653" i="5"/>
  <c r="D653" i="5"/>
  <c r="C653" i="5"/>
  <c r="B653" i="5"/>
  <c r="I652" i="5"/>
  <c r="H652" i="5"/>
  <c r="G652" i="5"/>
  <c r="F652" i="5"/>
  <c r="E652" i="5"/>
  <c r="D652" i="5"/>
  <c r="C652" i="5"/>
  <c r="B652" i="5"/>
  <c r="I651" i="5"/>
  <c r="H651" i="5"/>
  <c r="G651" i="5"/>
  <c r="F651" i="5"/>
  <c r="E651" i="5"/>
  <c r="D651" i="5"/>
  <c r="C651" i="5"/>
  <c r="B651" i="5"/>
  <c r="I650" i="5"/>
  <c r="H650" i="5"/>
  <c r="G650" i="5"/>
  <c r="F650" i="5"/>
  <c r="E650" i="5"/>
  <c r="D650" i="5"/>
  <c r="C650" i="5"/>
  <c r="B650" i="5"/>
  <c r="I649" i="5"/>
  <c r="H649" i="5"/>
  <c r="G649" i="5"/>
  <c r="F649" i="5"/>
  <c r="E649" i="5"/>
  <c r="D649" i="5"/>
  <c r="C649" i="5"/>
  <c r="B649" i="5"/>
  <c r="I648" i="5"/>
  <c r="H648" i="5"/>
  <c r="G648" i="5"/>
  <c r="F648" i="5"/>
  <c r="E648" i="5"/>
  <c r="D648" i="5"/>
  <c r="C648" i="5"/>
  <c r="B648" i="5"/>
  <c r="I647" i="5"/>
  <c r="H647" i="5"/>
  <c r="G647" i="5"/>
  <c r="F647" i="5"/>
  <c r="E647" i="5"/>
  <c r="D647" i="5"/>
  <c r="C647" i="5"/>
  <c r="B647" i="5"/>
  <c r="I646" i="5"/>
  <c r="H646" i="5"/>
  <c r="G646" i="5"/>
  <c r="F646" i="5"/>
  <c r="E646" i="5"/>
  <c r="D646" i="5"/>
  <c r="C646" i="5"/>
  <c r="B646" i="5"/>
  <c r="I645" i="5"/>
  <c r="H645" i="5"/>
  <c r="G645" i="5"/>
  <c r="F645" i="5"/>
  <c r="E645" i="5"/>
  <c r="D645" i="5"/>
  <c r="C645" i="5"/>
  <c r="B645" i="5"/>
  <c r="I644" i="5"/>
  <c r="H644" i="5"/>
  <c r="G644" i="5"/>
  <c r="F644" i="5"/>
  <c r="E644" i="5"/>
  <c r="D644" i="5"/>
  <c r="C644" i="5"/>
  <c r="B644" i="5"/>
  <c r="I643" i="5"/>
  <c r="H643" i="5"/>
  <c r="G643" i="5"/>
  <c r="F643" i="5"/>
  <c r="E643" i="5"/>
  <c r="D643" i="5"/>
  <c r="C643" i="5"/>
  <c r="B643" i="5"/>
  <c r="I642" i="5"/>
  <c r="H642" i="5"/>
  <c r="G642" i="5"/>
  <c r="F642" i="5"/>
  <c r="E642" i="5"/>
  <c r="D642" i="5"/>
  <c r="C642" i="5"/>
  <c r="B642" i="5"/>
  <c r="I641" i="5"/>
  <c r="H641" i="5"/>
  <c r="G641" i="5"/>
  <c r="F641" i="5"/>
  <c r="E641" i="5"/>
  <c r="D641" i="5"/>
  <c r="C641" i="5"/>
  <c r="B641" i="5"/>
  <c r="I640" i="5"/>
  <c r="H640" i="5"/>
  <c r="G640" i="5"/>
  <c r="F640" i="5"/>
  <c r="E640" i="5"/>
  <c r="D640" i="5"/>
  <c r="C640" i="5"/>
  <c r="B640" i="5"/>
  <c r="I639" i="5"/>
  <c r="H639" i="5"/>
  <c r="G639" i="5"/>
  <c r="F639" i="5"/>
  <c r="E639" i="5"/>
  <c r="D639" i="5"/>
  <c r="C639" i="5"/>
  <c r="B639" i="5"/>
  <c r="I638" i="5"/>
  <c r="H638" i="5"/>
  <c r="G638" i="5"/>
  <c r="F638" i="5"/>
  <c r="E638" i="5"/>
  <c r="D638" i="5"/>
  <c r="C638" i="5"/>
  <c r="B638" i="5"/>
  <c r="I637" i="5"/>
  <c r="H637" i="5"/>
  <c r="G637" i="5"/>
  <c r="F637" i="5"/>
  <c r="E637" i="5"/>
  <c r="D637" i="5"/>
  <c r="C637" i="5"/>
  <c r="B637" i="5"/>
  <c r="I636" i="5"/>
  <c r="H636" i="5"/>
  <c r="G636" i="5"/>
  <c r="F636" i="5"/>
  <c r="E636" i="5"/>
  <c r="D636" i="5"/>
  <c r="C636" i="5"/>
  <c r="B636" i="5"/>
  <c r="I635" i="5"/>
  <c r="H635" i="5"/>
  <c r="G635" i="5"/>
  <c r="F635" i="5"/>
  <c r="E635" i="5"/>
  <c r="D635" i="5"/>
  <c r="C635" i="5"/>
  <c r="B635" i="5"/>
  <c r="I634" i="5"/>
  <c r="H634" i="5"/>
  <c r="G634" i="5"/>
  <c r="F634" i="5"/>
  <c r="E634" i="5"/>
  <c r="D634" i="5"/>
  <c r="C634" i="5"/>
  <c r="B634" i="5"/>
  <c r="I633" i="5"/>
  <c r="H633" i="5"/>
  <c r="G633" i="5"/>
  <c r="F633" i="5"/>
  <c r="E633" i="5"/>
  <c r="D633" i="5"/>
  <c r="C633" i="5"/>
  <c r="B633" i="5"/>
  <c r="I632" i="5"/>
  <c r="H632" i="5"/>
  <c r="G632" i="5"/>
  <c r="F632" i="5"/>
  <c r="E632" i="5"/>
  <c r="D632" i="5"/>
  <c r="C632" i="5"/>
  <c r="B632" i="5"/>
  <c r="I631" i="5"/>
  <c r="H631" i="5"/>
  <c r="G631" i="5"/>
  <c r="F631" i="5"/>
  <c r="E631" i="5"/>
  <c r="D631" i="5"/>
  <c r="C631" i="5"/>
  <c r="B631" i="5"/>
  <c r="I630" i="5"/>
  <c r="H630" i="5"/>
  <c r="G630" i="5"/>
  <c r="F630" i="5"/>
  <c r="E630" i="5"/>
  <c r="D630" i="5"/>
  <c r="C630" i="5"/>
  <c r="B630" i="5"/>
  <c r="I629" i="5"/>
  <c r="H629" i="5"/>
  <c r="G629" i="5"/>
  <c r="F629" i="5"/>
  <c r="E629" i="5"/>
  <c r="D629" i="5"/>
  <c r="C629" i="5"/>
  <c r="B629" i="5"/>
  <c r="I628" i="5"/>
  <c r="H628" i="5"/>
  <c r="G628" i="5"/>
  <c r="F628" i="5"/>
  <c r="E628" i="5"/>
  <c r="D628" i="5"/>
  <c r="C628" i="5"/>
  <c r="B628" i="5"/>
  <c r="I627" i="5"/>
  <c r="H627" i="5"/>
  <c r="G627" i="5"/>
  <c r="F627" i="5"/>
  <c r="E627" i="5"/>
  <c r="D627" i="5"/>
  <c r="C627" i="5"/>
  <c r="B627" i="5"/>
  <c r="I626" i="5"/>
  <c r="H626" i="5"/>
  <c r="G626" i="5"/>
  <c r="F626" i="5"/>
  <c r="E626" i="5"/>
  <c r="D626" i="5"/>
  <c r="C626" i="5"/>
  <c r="B626" i="5"/>
  <c r="I625" i="5"/>
  <c r="H625" i="5"/>
  <c r="G625" i="5"/>
  <c r="F625" i="5"/>
  <c r="E625" i="5"/>
  <c r="D625" i="5"/>
  <c r="C625" i="5"/>
  <c r="B625" i="5"/>
  <c r="I624" i="5"/>
  <c r="H624" i="5"/>
  <c r="G624" i="5"/>
  <c r="F624" i="5"/>
  <c r="E624" i="5"/>
  <c r="D624" i="5"/>
  <c r="C624" i="5"/>
  <c r="B624" i="5"/>
  <c r="I623" i="5"/>
  <c r="H623" i="5"/>
  <c r="G623" i="5"/>
  <c r="F623" i="5"/>
  <c r="E623" i="5"/>
  <c r="D623" i="5"/>
  <c r="C623" i="5"/>
  <c r="B623" i="5"/>
  <c r="I622" i="5"/>
  <c r="H622" i="5"/>
  <c r="G622" i="5"/>
  <c r="F622" i="5"/>
  <c r="E622" i="5"/>
  <c r="D622" i="5"/>
  <c r="C622" i="5"/>
  <c r="B622" i="5"/>
  <c r="I621" i="5"/>
  <c r="H621" i="5"/>
  <c r="G621" i="5"/>
  <c r="F621" i="5"/>
  <c r="E621" i="5"/>
  <c r="D621" i="5"/>
  <c r="C621" i="5"/>
  <c r="B621" i="5"/>
  <c r="I620" i="5"/>
  <c r="H620" i="5"/>
  <c r="G620" i="5"/>
  <c r="F620" i="5"/>
  <c r="E620" i="5"/>
  <c r="D620" i="5"/>
  <c r="C620" i="5"/>
  <c r="B620" i="5"/>
  <c r="I619" i="5"/>
  <c r="H619" i="5"/>
  <c r="G619" i="5"/>
  <c r="F619" i="5"/>
  <c r="E619" i="5"/>
  <c r="D619" i="5"/>
  <c r="C619" i="5"/>
  <c r="B619" i="5"/>
  <c r="I618" i="5"/>
  <c r="H618" i="5"/>
  <c r="G618" i="5"/>
  <c r="F618" i="5"/>
  <c r="E618" i="5"/>
  <c r="D618" i="5"/>
  <c r="C618" i="5"/>
  <c r="B618" i="5"/>
  <c r="I617" i="5"/>
  <c r="H617" i="5"/>
  <c r="G617" i="5"/>
  <c r="F617" i="5"/>
  <c r="E617" i="5"/>
  <c r="D617" i="5"/>
  <c r="C617" i="5"/>
  <c r="B617" i="5"/>
  <c r="I616" i="5"/>
  <c r="H616" i="5"/>
  <c r="G616" i="5"/>
  <c r="F616" i="5"/>
  <c r="E616" i="5"/>
  <c r="D616" i="5"/>
  <c r="C616" i="5"/>
  <c r="B616" i="5"/>
  <c r="I615" i="5"/>
  <c r="H615" i="5"/>
  <c r="G615" i="5"/>
  <c r="F615" i="5"/>
  <c r="E615" i="5"/>
  <c r="D615" i="5"/>
  <c r="C615" i="5"/>
  <c r="B615" i="5"/>
  <c r="I614" i="5"/>
  <c r="G614" i="5"/>
  <c r="F614" i="5"/>
  <c r="E614" i="5"/>
  <c r="D614" i="5"/>
  <c r="C614" i="5"/>
  <c r="B614" i="5"/>
  <c r="I613" i="5"/>
  <c r="G613" i="5"/>
  <c r="F613" i="5"/>
  <c r="E613" i="5"/>
  <c r="D613" i="5"/>
  <c r="C613" i="5"/>
  <c r="B613" i="5"/>
  <c r="I612" i="5"/>
  <c r="G612" i="5"/>
  <c r="F612" i="5"/>
  <c r="E612" i="5"/>
  <c r="D612" i="5"/>
  <c r="C612" i="5"/>
  <c r="B612" i="5"/>
  <c r="I611" i="5"/>
  <c r="H611" i="5"/>
  <c r="G611" i="5"/>
  <c r="F611" i="5"/>
  <c r="E611" i="5"/>
  <c r="D611" i="5"/>
  <c r="C611" i="5"/>
  <c r="B611" i="5"/>
  <c r="I610" i="5"/>
  <c r="H610" i="5"/>
  <c r="G610" i="5"/>
  <c r="F610" i="5"/>
  <c r="E610" i="5"/>
  <c r="D610" i="5"/>
  <c r="C610" i="5"/>
  <c r="B610" i="5"/>
  <c r="I609" i="5"/>
  <c r="H609" i="5"/>
  <c r="G609" i="5"/>
  <c r="F609" i="5"/>
  <c r="E609" i="5"/>
  <c r="D609" i="5"/>
  <c r="C609" i="5"/>
  <c r="B609" i="5"/>
  <c r="I608" i="5"/>
  <c r="H608" i="5"/>
  <c r="G608" i="5"/>
  <c r="F608" i="5"/>
  <c r="E608" i="5"/>
  <c r="D608" i="5"/>
  <c r="C608" i="5"/>
  <c r="B608" i="5"/>
  <c r="I607" i="5"/>
  <c r="H607" i="5"/>
  <c r="G607" i="5"/>
  <c r="F607" i="5"/>
  <c r="E607" i="5"/>
  <c r="D607" i="5"/>
  <c r="C607" i="5"/>
  <c r="B607" i="5"/>
  <c r="I606" i="5"/>
  <c r="H606" i="5"/>
  <c r="G606" i="5"/>
  <c r="F606" i="5"/>
  <c r="E606" i="5"/>
  <c r="D606" i="5"/>
  <c r="C606" i="5"/>
  <c r="B606" i="5"/>
  <c r="I605" i="5"/>
  <c r="H605" i="5"/>
  <c r="G605" i="5"/>
  <c r="F605" i="5"/>
  <c r="E605" i="5"/>
  <c r="D605" i="5"/>
  <c r="C605" i="5"/>
  <c r="B605" i="5"/>
  <c r="I604" i="5"/>
  <c r="H604" i="5"/>
  <c r="G604" i="5"/>
  <c r="F604" i="5"/>
  <c r="E604" i="5"/>
  <c r="D604" i="5"/>
  <c r="C604" i="5"/>
  <c r="B604" i="5"/>
  <c r="I603" i="5"/>
  <c r="H603" i="5"/>
  <c r="G603" i="5"/>
  <c r="F603" i="5"/>
  <c r="E603" i="5"/>
  <c r="D603" i="5"/>
  <c r="C603" i="5"/>
  <c r="B603" i="5"/>
  <c r="I602" i="5"/>
  <c r="H602" i="5"/>
  <c r="G602" i="5"/>
  <c r="F602" i="5"/>
  <c r="E602" i="5"/>
  <c r="D602" i="5"/>
  <c r="C602" i="5"/>
  <c r="B602" i="5"/>
  <c r="I601" i="5"/>
  <c r="H601" i="5"/>
  <c r="G601" i="5"/>
  <c r="F601" i="5"/>
  <c r="E601" i="5"/>
  <c r="D601" i="5"/>
  <c r="C601" i="5"/>
  <c r="B601" i="5"/>
  <c r="I600" i="5"/>
  <c r="H600" i="5"/>
  <c r="G600" i="5"/>
  <c r="F600" i="5"/>
  <c r="E600" i="5"/>
  <c r="D600" i="5"/>
  <c r="C600" i="5"/>
  <c r="B600" i="5"/>
  <c r="I599" i="5"/>
  <c r="H599" i="5"/>
  <c r="G599" i="5"/>
  <c r="F599" i="5"/>
  <c r="E599" i="5"/>
  <c r="D599" i="5"/>
  <c r="C599" i="5"/>
  <c r="B599" i="5"/>
  <c r="I598" i="5"/>
  <c r="H598" i="5"/>
  <c r="G598" i="5"/>
  <c r="F598" i="5"/>
  <c r="E598" i="5"/>
  <c r="D598" i="5"/>
  <c r="C598" i="5"/>
  <c r="B598" i="5"/>
  <c r="I597" i="5"/>
  <c r="H597" i="5"/>
  <c r="G597" i="5"/>
  <c r="F597" i="5"/>
  <c r="E597" i="5"/>
  <c r="D597" i="5"/>
  <c r="C597" i="5"/>
  <c r="B597" i="5"/>
  <c r="I596" i="5"/>
  <c r="H596" i="5"/>
  <c r="G596" i="5"/>
  <c r="F596" i="5"/>
  <c r="E596" i="5"/>
  <c r="D596" i="5"/>
  <c r="C596" i="5"/>
  <c r="B596" i="5"/>
  <c r="I595" i="5"/>
  <c r="H595" i="5"/>
  <c r="G595" i="5"/>
  <c r="F595" i="5"/>
  <c r="E595" i="5"/>
  <c r="D595" i="5"/>
  <c r="C595" i="5"/>
  <c r="B595" i="5"/>
  <c r="I594" i="5"/>
  <c r="H594" i="5"/>
  <c r="G594" i="5"/>
  <c r="F594" i="5"/>
  <c r="E594" i="5"/>
  <c r="D594" i="5"/>
  <c r="C594" i="5"/>
  <c r="B594" i="5"/>
  <c r="I593" i="5"/>
  <c r="H593" i="5"/>
  <c r="G593" i="5"/>
  <c r="F593" i="5"/>
  <c r="E593" i="5"/>
  <c r="D593" i="5"/>
  <c r="C593" i="5"/>
  <c r="B593" i="5"/>
  <c r="I592" i="5"/>
  <c r="G592" i="5"/>
  <c r="F592" i="5"/>
  <c r="E592" i="5"/>
  <c r="D592" i="5"/>
  <c r="C592" i="5"/>
  <c r="B592" i="5"/>
  <c r="I591" i="5"/>
  <c r="H591" i="5"/>
  <c r="G591" i="5"/>
  <c r="F591" i="5"/>
  <c r="E591" i="5"/>
  <c r="D591" i="5"/>
  <c r="C591" i="5"/>
  <c r="B591" i="5"/>
  <c r="I590" i="5"/>
  <c r="H590" i="5"/>
  <c r="G590" i="5"/>
  <c r="F590" i="5"/>
  <c r="E590" i="5"/>
  <c r="D590" i="5"/>
  <c r="C590" i="5"/>
  <c r="B590" i="5"/>
  <c r="I589" i="5"/>
  <c r="H589" i="5"/>
  <c r="G589" i="5"/>
  <c r="F589" i="5"/>
  <c r="E589" i="5"/>
  <c r="D589" i="5"/>
  <c r="C589" i="5"/>
  <c r="B589" i="5"/>
  <c r="I588" i="5"/>
  <c r="H588" i="5"/>
  <c r="G588" i="5"/>
  <c r="F588" i="5"/>
  <c r="E588" i="5"/>
  <c r="D588" i="5"/>
  <c r="C588" i="5"/>
  <c r="B588" i="5"/>
  <c r="I587" i="5"/>
  <c r="H587" i="5"/>
  <c r="G587" i="5"/>
  <c r="F587" i="5"/>
  <c r="E587" i="5"/>
  <c r="D587" i="5"/>
  <c r="C587" i="5"/>
  <c r="B587" i="5"/>
  <c r="I586" i="5"/>
  <c r="H586" i="5"/>
  <c r="G586" i="5"/>
  <c r="F586" i="5"/>
  <c r="E586" i="5"/>
  <c r="D586" i="5"/>
  <c r="C586" i="5"/>
  <c r="B586" i="5"/>
  <c r="I585" i="5"/>
  <c r="H585" i="5"/>
  <c r="G585" i="5"/>
  <c r="F585" i="5"/>
  <c r="E585" i="5"/>
  <c r="D585" i="5"/>
  <c r="C585" i="5"/>
  <c r="B585" i="5"/>
  <c r="I584" i="5"/>
  <c r="H584" i="5"/>
  <c r="G584" i="5"/>
  <c r="F584" i="5"/>
  <c r="E584" i="5"/>
  <c r="D584" i="5"/>
  <c r="C584" i="5"/>
  <c r="B584" i="5"/>
  <c r="I583" i="5"/>
  <c r="H583" i="5"/>
  <c r="G583" i="5"/>
  <c r="F583" i="5"/>
  <c r="E583" i="5"/>
  <c r="D583" i="5"/>
  <c r="C583" i="5"/>
  <c r="B583" i="5"/>
  <c r="I582" i="5"/>
  <c r="H582" i="5"/>
  <c r="G582" i="5"/>
  <c r="F582" i="5"/>
  <c r="E582" i="5"/>
  <c r="D582" i="5"/>
  <c r="C582" i="5"/>
  <c r="B582" i="5"/>
  <c r="I581" i="5"/>
  <c r="H581" i="5"/>
  <c r="G581" i="5"/>
  <c r="F581" i="5"/>
  <c r="E581" i="5"/>
  <c r="D581" i="5"/>
  <c r="C581" i="5"/>
  <c r="B581" i="5"/>
  <c r="I580" i="5"/>
  <c r="H580" i="5"/>
  <c r="G580" i="5"/>
  <c r="F580" i="5"/>
  <c r="E580" i="5"/>
  <c r="D580" i="5"/>
  <c r="C580" i="5"/>
  <c r="B580" i="5"/>
  <c r="I579" i="5"/>
  <c r="H579" i="5"/>
  <c r="G579" i="5"/>
  <c r="F579" i="5"/>
  <c r="E579" i="5"/>
  <c r="D579" i="5"/>
  <c r="C579" i="5"/>
  <c r="B579" i="5"/>
  <c r="I578" i="5"/>
  <c r="H578" i="5"/>
  <c r="G578" i="5"/>
  <c r="F578" i="5"/>
  <c r="E578" i="5"/>
  <c r="D578" i="5"/>
  <c r="C578" i="5"/>
  <c r="B578" i="5"/>
  <c r="I577" i="5"/>
  <c r="H577" i="5"/>
  <c r="G577" i="5"/>
  <c r="F577" i="5"/>
  <c r="E577" i="5"/>
  <c r="D577" i="5"/>
  <c r="C577" i="5"/>
  <c r="B577" i="5"/>
  <c r="I576" i="5"/>
  <c r="H576" i="5"/>
  <c r="G576" i="5"/>
  <c r="F576" i="5"/>
  <c r="E576" i="5"/>
  <c r="D576" i="5"/>
  <c r="C576" i="5"/>
  <c r="B576" i="5"/>
  <c r="I575" i="5"/>
  <c r="H575" i="5"/>
  <c r="G575" i="5"/>
  <c r="F575" i="5"/>
  <c r="E575" i="5"/>
  <c r="D575" i="5"/>
  <c r="C575" i="5"/>
  <c r="B575" i="5"/>
  <c r="I574" i="5"/>
  <c r="H574" i="5"/>
  <c r="G574" i="5"/>
  <c r="F574" i="5"/>
  <c r="E574" i="5"/>
  <c r="D574" i="5"/>
  <c r="C574" i="5"/>
  <c r="B574" i="5"/>
  <c r="I573" i="5"/>
  <c r="H573" i="5"/>
  <c r="G573" i="5"/>
  <c r="F573" i="5"/>
  <c r="E573" i="5"/>
  <c r="D573" i="5"/>
  <c r="C573" i="5"/>
  <c r="B573" i="5"/>
  <c r="I572" i="5"/>
  <c r="H572" i="5"/>
  <c r="G572" i="5"/>
  <c r="F572" i="5"/>
  <c r="E572" i="5"/>
  <c r="D572" i="5"/>
  <c r="C572" i="5"/>
  <c r="B572" i="5"/>
  <c r="I571" i="5"/>
  <c r="H571" i="5"/>
  <c r="G571" i="5"/>
  <c r="F571" i="5"/>
  <c r="E571" i="5"/>
  <c r="D571" i="5"/>
  <c r="C571" i="5"/>
  <c r="B571" i="5"/>
  <c r="I570" i="5"/>
  <c r="H570" i="5"/>
  <c r="G570" i="5"/>
  <c r="F570" i="5"/>
  <c r="E570" i="5"/>
  <c r="D570" i="5"/>
  <c r="C570" i="5"/>
  <c r="B570" i="5"/>
  <c r="I569" i="5"/>
  <c r="H569" i="5"/>
  <c r="G569" i="5"/>
  <c r="F569" i="5"/>
  <c r="E569" i="5"/>
  <c r="D569" i="5"/>
  <c r="C569" i="5"/>
  <c r="B569" i="5"/>
  <c r="I568" i="5"/>
  <c r="H568" i="5"/>
  <c r="G568" i="5"/>
  <c r="F568" i="5"/>
  <c r="E568" i="5"/>
  <c r="D568" i="5"/>
  <c r="C568" i="5"/>
  <c r="B568" i="5"/>
  <c r="I567" i="5"/>
  <c r="H567" i="5"/>
  <c r="G567" i="5"/>
  <c r="F567" i="5"/>
  <c r="E567" i="5"/>
  <c r="D567" i="5"/>
  <c r="C567" i="5"/>
  <c r="B567" i="5"/>
  <c r="I566" i="5"/>
  <c r="H566" i="5"/>
  <c r="G566" i="5"/>
  <c r="F566" i="5"/>
  <c r="E566" i="5"/>
  <c r="D566" i="5"/>
  <c r="C566" i="5"/>
  <c r="B566" i="5"/>
  <c r="I565" i="5"/>
  <c r="H565" i="5"/>
  <c r="G565" i="5"/>
  <c r="F565" i="5"/>
  <c r="E565" i="5"/>
  <c r="D565" i="5"/>
  <c r="C565" i="5"/>
  <c r="B565" i="5"/>
  <c r="I564" i="5"/>
  <c r="H564" i="5"/>
  <c r="G564" i="5"/>
  <c r="F564" i="5"/>
  <c r="E564" i="5"/>
  <c r="D564" i="5"/>
  <c r="C564" i="5"/>
  <c r="B564" i="5"/>
  <c r="I563" i="5"/>
  <c r="H563" i="5"/>
  <c r="G563" i="5"/>
  <c r="F563" i="5"/>
  <c r="E563" i="5"/>
  <c r="D563" i="5"/>
  <c r="C563" i="5"/>
  <c r="B563" i="5"/>
  <c r="I562" i="5"/>
  <c r="H562" i="5"/>
  <c r="G562" i="5"/>
  <c r="F562" i="5"/>
  <c r="E562" i="5"/>
  <c r="D562" i="5"/>
  <c r="C562" i="5"/>
  <c r="B562" i="5"/>
  <c r="I561" i="5"/>
  <c r="H561" i="5"/>
  <c r="G561" i="5"/>
  <c r="F561" i="5"/>
  <c r="E561" i="5"/>
  <c r="D561" i="5"/>
  <c r="C561" i="5"/>
  <c r="B561" i="5"/>
  <c r="I560" i="5"/>
  <c r="H560" i="5"/>
  <c r="G560" i="5"/>
  <c r="F560" i="5"/>
  <c r="E560" i="5"/>
  <c r="D560" i="5"/>
  <c r="C560" i="5"/>
  <c r="B560" i="5"/>
  <c r="I559" i="5"/>
  <c r="H559" i="5"/>
  <c r="G559" i="5"/>
  <c r="F559" i="5"/>
  <c r="E559" i="5"/>
  <c r="D559" i="5"/>
  <c r="C559" i="5"/>
  <c r="B559" i="5"/>
  <c r="I558" i="5"/>
  <c r="H558" i="5"/>
  <c r="G558" i="5"/>
  <c r="F558" i="5"/>
  <c r="E558" i="5"/>
  <c r="D558" i="5"/>
  <c r="C558" i="5"/>
  <c r="B558" i="5"/>
  <c r="I557" i="5"/>
  <c r="H557" i="5"/>
  <c r="G557" i="5"/>
  <c r="F557" i="5"/>
  <c r="E557" i="5"/>
  <c r="D557" i="5"/>
  <c r="C557" i="5"/>
  <c r="B557" i="5"/>
  <c r="I556" i="5"/>
  <c r="H556" i="5"/>
  <c r="G556" i="5"/>
  <c r="F556" i="5"/>
  <c r="E556" i="5"/>
  <c r="D556" i="5"/>
  <c r="C556" i="5"/>
  <c r="B556" i="5"/>
  <c r="I555" i="5"/>
  <c r="H555" i="5"/>
  <c r="G555" i="5"/>
  <c r="F555" i="5"/>
  <c r="E555" i="5"/>
  <c r="D555" i="5"/>
  <c r="C555" i="5"/>
  <c r="B555" i="5"/>
  <c r="I554" i="5"/>
  <c r="H554" i="5"/>
  <c r="G554" i="5"/>
  <c r="F554" i="5"/>
  <c r="E554" i="5"/>
  <c r="D554" i="5"/>
  <c r="C554" i="5"/>
  <c r="B554" i="5"/>
  <c r="I553" i="5"/>
  <c r="H553" i="5"/>
  <c r="G553" i="5"/>
  <c r="F553" i="5"/>
  <c r="E553" i="5"/>
  <c r="D553" i="5"/>
  <c r="C553" i="5"/>
  <c r="B553" i="5"/>
  <c r="I552" i="5"/>
  <c r="H552" i="5"/>
  <c r="G552" i="5"/>
  <c r="F552" i="5"/>
  <c r="E552" i="5"/>
  <c r="D552" i="5"/>
  <c r="C552" i="5"/>
  <c r="B552" i="5"/>
  <c r="I551" i="5"/>
  <c r="H551" i="5"/>
  <c r="G551" i="5"/>
  <c r="F551" i="5"/>
  <c r="E551" i="5"/>
  <c r="D551" i="5"/>
  <c r="C551" i="5"/>
  <c r="B551" i="5"/>
  <c r="I550" i="5"/>
  <c r="H550" i="5"/>
  <c r="G550" i="5"/>
  <c r="F550" i="5"/>
  <c r="E550" i="5"/>
  <c r="D550" i="5"/>
  <c r="C550" i="5"/>
  <c r="B550" i="5"/>
  <c r="I549" i="5"/>
  <c r="H549" i="5"/>
  <c r="G549" i="5"/>
  <c r="F549" i="5"/>
  <c r="E549" i="5"/>
  <c r="D549" i="5"/>
  <c r="C549" i="5"/>
  <c r="B549" i="5"/>
  <c r="I548" i="5"/>
  <c r="H548" i="5"/>
  <c r="G548" i="5"/>
  <c r="F548" i="5"/>
  <c r="E548" i="5"/>
  <c r="D548" i="5"/>
  <c r="C548" i="5"/>
  <c r="B548" i="5"/>
  <c r="I547" i="5"/>
  <c r="H547" i="5"/>
  <c r="G547" i="5"/>
  <c r="F547" i="5"/>
  <c r="E547" i="5"/>
  <c r="D547" i="5"/>
  <c r="C547" i="5"/>
  <c r="B547" i="5"/>
  <c r="I546" i="5"/>
  <c r="H546" i="5"/>
  <c r="G546" i="5"/>
  <c r="F546" i="5"/>
  <c r="E546" i="5"/>
  <c r="D546" i="5"/>
  <c r="C546" i="5"/>
  <c r="B546" i="5"/>
  <c r="I545" i="5"/>
  <c r="H545" i="5"/>
  <c r="G545" i="5"/>
  <c r="F545" i="5"/>
  <c r="E545" i="5"/>
  <c r="D545" i="5"/>
  <c r="C545" i="5"/>
  <c r="B545" i="5"/>
  <c r="I544" i="5"/>
  <c r="H544" i="5"/>
  <c r="G544" i="5"/>
  <c r="F544" i="5"/>
  <c r="E544" i="5"/>
  <c r="D544" i="5"/>
  <c r="C544" i="5"/>
  <c r="B544" i="5"/>
  <c r="I543" i="5"/>
  <c r="H543" i="5"/>
  <c r="G543" i="5"/>
  <c r="F543" i="5"/>
  <c r="E543" i="5"/>
  <c r="D543" i="5"/>
  <c r="C543" i="5"/>
  <c r="B543" i="5"/>
  <c r="I542" i="5"/>
  <c r="H542" i="5"/>
  <c r="G542" i="5"/>
  <c r="F542" i="5"/>
  <c r="E542" i="5"/>
  <c r="D542" i="5"/>
  <c r="C542" i="5"/>
  <c r="B542" i="5"/>
  <c r="I541" i="5"/>
  <c r="H541" i="5"/>
  <c r="G541" i="5"/>
  <c r="F541" i="5"/>
  <c r="E541" i="5"/>
  <c r="D541" i="5"/>
  <c r="C541" i="5"/>
  <c r="B541" i="5"/>
  <c r="I540" i="5"/>
  <c r="H540" i="5"/>
  <c r="G540" i="5"/>
  <c r="F540" i="5"/>
  <c r="E540" i="5"/>
  <c r="D540" i="5"/>
  <c r="C540" i="5"/>
  <c r="B540" i="5"/>
  <c r="I539" i="5"/>
  <c r="H539" i="5"/>
  <c r="G539" i="5"/>
  <c r="F539" i="5"/>
  <c r="E539" i="5"/>
  <c r="D539" i="5"/>
  <c r="C539" i="5"/>
  <c r="B539" i="5"/>
  <c r="I538" i="5"/>
  <c r="H538" i="5"/>
  <c r="G538" i="5"/>
  <c r="F538" i="5"/>
  <c r="E538" i="5"/>
  <c r="D538" i="5"/>
  <c r="C538" i="5"/>
  <c r="B538" i="5"/>
  <c r="I537" i="5"/>
  <c r="H537" i="5"/>
  <c r="G537" i="5"/>
  <c r="F537" i="5"/>
  <c r="E537" i="5"/>
  <c r="D537" i="5"/>
  <c r="C537" i="5"/>
  <c r="B537" i="5"/>
  <c r="I536" i="5"/>
  <c r="H536" i="5"/>
  <c r="G536" i="5"/>
  <c r="F536" i="5"/>
  <c r="E536" i="5"/>
  <c r="D536" i="5"/>
  <c r="C536" i="5"/>
  <c r="B536" i="5"/>
  <c r="I535" i="5"/>
  <c r="H535" i="5"/>
  <c r="G535" i="5"/>
  <c r="F535" i="5"/>
  <c r="E535" i="5"/>
  <c r="D535" i="5"/>
  <c r="C535" i="5"/>
  <c r="B535" i="5"/>
  <c r="I534" i="5"/>
  <c r="H534" i="5"/>
  <c r="G534" i="5"/>
  <c r="F534" i="5"/>
  <c r="E534" i="5"/>
  <c r="D534" i="5"/>
  <c r="C534" i="5"/>
  <c r="B534" i="5"/>
  <c r="I533" i="5"/>
  <c r="H533" i="5"/>
  <c r="G533" i="5"/>
  <c r="F533" i="5"/>
  <c r="E533" i="5"/>
  <c r="D533" i="5"/>
  <c r="C533" i="5"/>
  <c r="B533" i="5"/>
  <c r="I532" i="5"/>
  <c r="H532" i="5"/>
  <c r="G532" i="5"/>
  <c r="F532" i="5"/>
  <c r="E532" i="5"/>
  <c r="D532" i="5"/>
  <c r="C532" i="5"/>
  <c r="B532" i="5"/>
  <c r="I531" i="5"/>
  <c r="H531" i="5"/>
  <c r="G531" i="5"/>
  <c r="F531" i="5"/>
  <c r="E531" i="5"/>
  <c r="D531" i="5"/>
  <c r="C531" i="5"/>
  <c r="B531" i="5"/>
  <c r="I530" i="5"/>
  <c r="H530" i="5"/>
  <c r="G530" i="5"/>
  <c r="F530" i="5"/>
  <c r="E530" i="5"/>
  <c r="D530" i="5"/>
  <c r="C530" i="5"/>
  <c r="B530" i="5"/>
  <c r="I529" i="5"/>
  <c r="H529" i="5"/>
  <c r="G529" i="5"/>
  <c r="F529" i="5"/>
  <c r="E529" i="5"/>
  <c r="D529" i="5"/>
  <c r="C529" i="5"/>
  <c r="B529" i="5"/>
  <c r="I528" i="5"/>
  <c r="H528" i="5"/>
  <c r="G528" i="5"/>
  <c r="F528" i="5"/>
  <c r="E528" i="5"/>
  <c r="D528" i="5"/>
  <c r="C528" i="5"/>
  <c r="B528" i="5"/>
  <c r="I527" i="5"/>
  <c r="H527" i="5"/>
  <c r="G527" i="5"/>
  <c r="F527" i="5"/>
  <c r="E527" i="5"/>
  <c r="D527" i="5"/>
  <c r="C527" i="5"/>
  <c r="B527" i="5"/>
  <c r="I526" i="5"/>
  <c r="H526" i="5"/>
  <c r="G526" i="5"/>
  <c r="F526" i="5"/>
  <c r="E526" i="5"/>
  <c r="D526" i="5"/>
  <c r="C526" i="5"/>
  <c r="B526" i="5"/>
  <c r="I525" i="5"/>
  <c r="H525" i="5"/>
  <c r="G525" i="5"/>
  <c r="F525" i="5"/>
  <c r="E525" i="5"/>
  <c r="D525" i="5"/>
  <c r="C525" i="5"/>
  <c r="B525" i="5"/>
  <c r="I524" i="5"/>
  <c r="H524" i="5"/>
  <c r="G524" i="5"/>
  <c r="F524" i="5"/>
  <c r="E524" i="5"/>
  <c r="D524" i="5"/>
  <c r="C524" i="5"/>
  <c r="B524" i="5"/>
  <c r="I523" i="5"/>
  <c r="H523" i="5"/>
  <c r="G523" i="5"/>
  <c r="F523" i="5"/>
  <c r="E523" i="5"/>
  <c r="D523" i="5"/>
  <c r="C523" i="5"/>
  <c r="B523" i="5"/>
  <c r="I522" i="5"/>
  <c r="H522" i="5"/>
  <c r="G522" i="5"/>
  <c r="F522" i="5"/>
  <c r="E522" i="5"/>
  <c r="D522" i="5"/>
  <c r="C522" i="5"/>
  <c r="B522" i="5"/>
  <c r="I521" i="5"/>
  <c r="H521" i="5"/>
  <c r="G521" i="5"/>
  <c r="F521" i="5"/>
  <c r="E521" i="5"/>
  <c r="D521" i="5"/>
  <c r="C521" i="5"/>
  <c r="B521" i="5"/>
  <c r="I520" i="5"/>
  <c r="H520" i="5"/>
  <c r="G520" i="5"/>
  <c r="F520" i="5"/>
  <c r="E520" i="5"/>
  <c r="D520" i="5"/>
  <c r="C520" i="5"/>
  <c r="B520" i="5"/>
  <c r="I519" i="5"/>
  <c r="H519" i="5"/>
  <c r="G519" i="5"/>
  <c r="F519" i="5"/>
  <c r="E519" i="5"/>
  <c r="D519" i="5"/>
  <c r="C519" i="5"/>
  <c r="B519" i="5"/>
  <c r="I518" i="5"/>
  <c r="H518" i="5"/>
  <c r="G518" i="5"/>
  <c r="F518" i="5"/>
  <c r="E518" i="5"/>
  <c r="D518" i="5"/>
  <c r="C518" i="5"/>
  <c r="B518" i="5"/>
  <c r="I517" i="5"/>
  <c r="H517" i="5"/>
  <c r="G517" i="5"/>
  <c r="F517" i="5"/>
  <c r="E517" i="5"/>
  <c r="D517" i="5"/>
  <c r="C517" i="5"/>
  <c r="B517" i="5"/>
  <c r="I516" i="5"/>
  <c r="H516" i="5"/>
  <c r="G516" i="5"/>
  <c r="F516" i="5"/>
  <c r="E516" i="5"/>
  <c r="D516" i="5"/>
  <c r="C516" i="5"/>
  <c r="B516" i="5"/>
  <c r="I515" i="5"/>
  <c r="H515" i="5"/>
  <c r="G515" i="5"/>
  <c r="F515" i="5"/>
  <c r="E515" i="5"/>
  <c r="D515" i="5"/>
  <c r="C515" i="5"/>
  <c r="B515" i="5"/>
  <c r="I514" i="5"/>
  <c r="H514" i="5"/>
  <c r="G514" i="5"/>
  <c r="F514" i="5"/>
  <c r="E514" i="5"/>
  <c r="D514" i="5"/>
  <c r="C514" i="5"/>
  <c r="B514" i="5"/>
  <c r="I513" i="5"/>
  <c r="H513" i="5"/>
  <c r="G513" i="5"/>
  <c r="F513" i="5"/>
  <c r="E513" i="5"/>
  <c r="D513" i="5"/>
  <c r="C513" i="5"/>
  <c r="B513" i="5"/>
  <c r="I512" i="5"/>
  <c r="H512" i="5"/>
  <c r="G512" i="5"/>
  <c r="F512" i="5"/>
  <c r="E512" i="5"/>
  <c r="D512" i="5"/>
  <c r="C512" i="5"/>
  <c r="B512" i="5"/>
  <c r="I511" i="5"/>
  <c r="H511" i="5"/>
  <c r="G511" i="5"/>
  <c r="F511" i="5"/>
  <c r="E511" i="5"/>
  <c r="D511" i="5"/>
  <c r="C511" i="5"/>
  <c r="B511" i="5"/>
  <c r="I510" i="5"/>
  <c r="H510" i="5"/>
  <c r="G510" i="5"/>
  <c r="F510" i="5"/>
  <c r="E510" i="5"/>
  <c r="D510" i="5"/>
  <c r="C510" i="5"/>
  <c r="B510" i="5"/>
  <c r="I509" i="5"/>
  <c r="H509" i="5"/>
  <c r="G509" i="5"/>
  <c r="F509" i="5"/>
  <c r="E509" i="5"/>
  <c r="D509" i="5"/>
  <c r="C509" i="5"/>
  <c r="B509" i="5"/>
  <c r="I508" i="5"/>
  <c r="H508" i="5"/>
  <c r="G508" i="5"/>
  <c r="F508" i="5"/>
  <c r="E508" i="5"/>
  <c r="D508" i="5"/>
  <c r="C508" i="5"/>
  <c r="B508" i="5"/>
  <c r="I507" i="5"/>
  <c r="H507" i="5"/>
  <c r="G507" i="5"/>
  <c r="F507" i="5"/>
  <c r="E507" i="5"/>
  <c r="D507" i="5"/>
  <c r="C507" i="5"/>
  <c r="B507" i="5"/>
  <c r="I506" i="5"/>
  <c r="H506" i="5"/>
  <c r="G506" i="5"/>
  <c r="F506" i="5"/>
  <c r="E506" i="5"/>
  <c r="D506" i="5"/>
  <c r="C506" i="5"/>
  <c r="B506" i="5"/>
  <c r="I505" i="5"/>
  <c r="H505" i="5"/>
  <c r="G505" i="5"/>
  <c r="F505" i="5"/>
  <c r="E505" i="5"/>
  <c r="D505" i="5"/>
  <c r="C505" i="5"/>
  <c r="B505" i="5"/>
  <c r="I504" i="5"/>
  <c r="H504" i="5"/>
  <c r="G504" i="5"/>
  <c r="F504" i="5"/>
  <c r="E504" i="5"/>
  <c r="D504" i="5"/>
  <c r="C504" i="5"/>
  <c r="B504" i="5"/>
  <c r="I503" i="5"/>
  <c r="H503" i="5"/>
  <c r="G503" i="5"/>
  <c r="F503" i="5"/>
  <c r="E503" i="5"/>
  <c r="D503" i="5"/>
  <c r="C503" i="5"/>
  <c r="B503" i="5"/>
  <c r="I502" i="5"/>
  <c r="H502" i="5"/>
  <c r="G502" i="5"/>
  <c r="F502" i="5"/>
  <c r="E502" i="5"/>
  <c r="D502" i="5"/>
  <c r="C502" i="5"/>
  <c r="B502" i="5"/>
  <c r="I501" i="5"/>
  <c r="H501" i="5"/>
  <c r="G501" i="5"/>
  <c r="F501" i="5"/>
  <c r="E501" i="5"/>
  <c r="D501" i="5"/>
  <c r="C501" i="5"/>
  <c r="B501" i="5"/>
  <c r="I500" i="5"/>
  <c r="H500" i="5"/>
  <c r="G500" i="5"/>
  <c r="F500" i="5"/>
  <c r="E500" i="5"/>
  <c r="D500" i="5"/>
  <c r="C500" i="5"/>
  <c r="B500" i="5"/>
  <c r="I499" i="5"/>
  <c r="H499" i="5"/>
  <c r="G499" i="5"/>
  <c r="F499" i="5"/>
  <c r="E499" i="5"/>
  <c r="D499" i="5"/>
  <c r="C499" i="5"/>
  <c r="B499" i="5"/>
  <c r="I498" i="5"/>
  <c r="H498" i="5"/>
  <c r="G498" i="5"/>
  <c r="F498" i="5"/>
  <c r="E498" i="5"/>
  <c r="D498" i="5"/>
  <c r="C498" i="5"/>
  <c r="B498" i="5"/>
  <c r="I497" i="5"/>
  <c r="H497" i="5"/>
  <c r="G497" i="5"/>
  <c r="F497" i="5"/>
  <c r="E497" i="5"/>
  <c r="D497" i="5"/>
  <c r="C497" i="5"/>
  <c r="B497" i="5"/>
  <c r="I496" i="5"/>
  <c r="H496" i="5"/>
  <c r="G496" i="5"/>
  <c r="F496" i="5"/>
  <c r="E496" i="5"/>
  <c r="D496" i="5"/>
  <c r="C496" i="5"/>
  <c r="B496" i="5"/>
  <c r="I495" i="5"/>
  <c r="H495" i="5"/>
  <c r="G495" i="5"/>
  <c r="F495" i="5"/>
  <c r="E495" i="5"/>
  <c r="D495" i="5"/>
  <c r="C495" i="5"/>
  <c r="B495" i="5"/>
  <c r="I494" i="5"/>
  <c r="H494" i="5"/>
  <c r="G494" i="5"/>
  <c r="F494" i="5"/>
  <c r="E494" i="5"/>
  <c r="D494" i="5"/>
  <c r="C494" i="5"/>
  <c r="B494" i="5"/>
  <c r="I493" i="5"/>
  <c r="H493" i="5"/>
  <c r="G493" i="5"/>
  <c r="F493" i="5"/>
  <c r="E493" i="5"/>
  <c r="D493" i="5"/>
  <c r="C493" i="5"/>
  <c r="B493" i="5"/>
  <c r="I492" i="5"/>
  <c r="H492" i="5"/>
  <c r="G492" i="5"/>
  <c r="F492" i="5"/>
  <c r="E492" i="5"/>
  <c r="D492" i="5"/>
  <c r="C492" i="5"/>
  <c r="B492" i="5"/>
  <c r="I491" i="5"/>
  <c r="H491" i="5"/>
  <c r="G491" i="5"/>
  <c r="F491" i="5"/>
  <c r="E491" i="5"/>
  <c r="D491" i="5"/>
  <c r="C491" i="5"/>
  <c r="B491" i="5"/>
  <c r="I490" i="5"/>
  <c r="H490" i="5"/>
  <c r="G490" i="5"/>
  <c r="F490" i="5"/>
  <c r="E490" i="5"/>
  <c r="D490" i="5"/>
  <c r="C490" i="5"/>
  <c r="B490" i="5"/>
  <c r="I489" i="5"/>
  <c r="H489" i="5"/>
  <c r="G489" i="5"/>
  <c r="F489" i="5"/>
  <c r="E489" i="5"/>
  <c r="D489" i="5"/>
  <c r="C489" i="5"/>
  <c r="B489" i="5"/>
  <c r="I488" i="5"/>
  <c r="H488" i="5"/>
  <c r="G488" i="5"/>
  <c r="F488" i="5"/>
  <c r="E488" i="5"/>
  <c r="D488" i="5"/>
  <c r="C488" i="5"/>
  <c r="B488" i="5"/>
  <c r="I487" i="5"/>
  <c r="H487" i="5"/>
  <c r="G487" i="5"/>
  <c r="F487" i="5"/>
  <c r="E487" i="5"/>
  <c r="D487" i="5"/>
  <c r="C487" i="5"/>
  <c r="B487" i="5"/>
  <c r="I486" i="5"/>
  <c r="H486" i="5"/>
  <c r="G486" i="5"/>
  <c r="F486" i="5"/>
  <c r="E486" i="5"/>
  <c r="D486" i="5"/>
  <c r="C486" i="5"/>
  <c r="B486" i="5"/>
  <c r="I485" i="5"/>
  <c r="H485" i="5"/>
  <c r="G485" i="5"/>
  <c r="F485" i="5"/>
  <c r="E485" i="5"/>
  <c r="D485" i="5"/>
  <c r="C485" i="5"/>
  <c r="B485" i="5"/>
  <c r="I484" i="5"/>
  <c r="H484" i="5"/>
  <c r="G484" i="5"/>
  <c r="F484" i="5"/>
  <c r="E484" i="5"/>
  <c r="D484" i="5"/>
  <c r="C484" i="5"/>
  <c r="B484" i="5"/>
  <c r="I483" i="5"/>
  <c r="H483" i="5"/>
  <c r="G483" i="5"/>
  <c r="F483" i="5"/>
  <c r="E483" i="5"/>
  <c r="D483" i="5"/>
  <c r="C483" i="5"/>
  <c r="B483" i="5"/>
  <c r="I482" i="5"/>
  <c r="H482" i="5"/>
  <c r="G482" i="5"/>
  <c r="F482" i="5"/>
  <c r="E482" i="5"/>
  <c r="D482" i="5"/>
  <c r="C482" i="5"/>
  <c r="B482" i="5"/>
  <c r="I481" i="5"/>
  <c r="H481" i="5"/>
  <c r="G481" i="5"/>
  <c r="F481" i="5"/>
  <c r="E481" i="5"/>
  <c r="D481" i="5"/>
  <c r="C481" i="5"/>
  <c r="B481" i="5"/>
  <c r="I480" i="5"/>
  <c r="H480" i="5"/>
  <c r="G480" i="5"/>
  <c r="F480" i="5"/>
  <c r="E480" i="5"/>
  <c r="D480" i="5"/>
  <c r="C480" i="5"/>
  <c r="B480" i="5"/>
  <c r="I479" i="5"/>
  <c r="H479" i="5"/>
  <c r="G479" i="5"/>
  <c r="F479" i="5"/>
  <c r="E479" i="5"/>
  <c r="D479" i="5"/>
  <c r="C479" i="5"/>
  <c r="B479" i="5"/>
  <c r="I478" i="5"/>
  <c r="H478" i="5"/>
  <c r="G478" i="5"/>
  <c r="F478" i="5"/>
  <c r="E478" i="5"/>
  <c r="D478" i="5"/>
  <c r="C478" i="5"/>
  <c r="B478" i="5"/>
  <c r="I477" i="5"/>
  <c r="H477" i="5"/>
  <c r="G477" i="5"/>
  <c r="F477" i="5"/>
  <c r="E477" i="5"/>
  <c r="D477" i="5"/>
  <c r="C477" i="5"/>
  <c r="B477" i="5"/>
  <c r="I476" i="5"/>
  <c r="H476" i="5"/>
  <c r="G476" i="5"/>
  <c r="F476" i="5"/>
  <c r="E476" i="5"/>
  <c r="D476" i="5"/>
  <c r="C476" i="5"/>
  <c r="B476" i="5"/>
  <c r="I475" i="5"/>
  <c r="H475" i="5"/>
  <c r="G475" i="5"/>
  <c r="F475" i="5"/>
  <c r="E475" i="5"/>
  <c r="D475" i="5"/>
  <c r="C475" i="5"/>
  <c r="B475" i="5"/>
  <c r="I474" i="5"/>
  <c r="H474" i="5"/>
  <c r="G474" i="5"/>
  <c r="F474" i="5"/>
  <c r="E474" i="5"/>
  <c r="D474" i="5"/>
  <c r="C474" i="5"/>
  <c r="B474" i="5"/>
  <c r="I473" i="5"/>
  <c r="G473" i="5"/>
  <c r="F473" i="5"/>
  <c r="E473" i="5"/>
  <c r="D473" i="5"/>
  <c r="C473" i="5"/>
  <c r="B473" i="5"/>
  <c r="I472" i="5"/>
  <c r="G472" i="5"/>
  <c r="F472" i="5"/>
  <c r="E472" i="5"/>
  <c r="D472" i="5"/>
  <c r="C472" i="5"/>
  <c r="B472" i="5"/>
  <c r="I471" i="5"/>
  <c r="H471" i="5"/>
  <c r="G471" i="5"/>
  <c r="F471" i="5"/>
  <c r="E471" i="5"/>
  <c r="D471" i="5"/>
  <c r="C471" i="5"/>
  <c r="B471" i="5"/>
  <c r="I470" i="5"/>
  <c r="H470" i="5"/>
  <c r="G470" i="5"/>
  <c r="F470" i="5"/>
  <c r="E470" i="5"/>
  <c r="D470" i="5"/>
  <c r="C470" i="5"/>
  <c r="B470" i="5"/>
  <c r="I469" i="5"/>
  <c r="H469" i="5"/>
  <c r="G469" i="5"/>
  <c r="F469" i="5"/>
  <c r="E469" i="5"/>
  <c r="D469" i="5"/>
  <c r="C469" i="5"/>
  <c r="B469" i="5"/>
  <c r="I468" i="5"/>
  <c r="H468" i="5"/>
  <c r="G468" i="5"/>
  <c r="F468" i="5"/>
  <c r="E468" i="5"/>
  <c r="D468" i="5"/>
  <c r="C468" i="5"/>
  <c r="B468" i="5"/>
  <c r="I467" i="5"/>
  <c r="H467" i="5"/>
  <c r="G467" i="5"/>
  <c r="F467" i="5"/>
  <c r="E467" i="5"/>
  <c r="D467" i="5"/>
  <c r="C467" i="5"/>
  <c r="B467" i="5"/>
  <c r="I466" i="5"/>
  <c r="H466" i="5"/>
  <c r="G466" i="5"/>
  <c r="F466" i="5"/>
  <c r="E466" i="5"/>
  <c r="D466" i="5"/>
  <c r="C466" i="5"/>
  <c r="B466" i="5"/>
  <c r="I465" i="5"/>
  <c r="H465" i="5"/>
  <c r="G465" i="5"/>
  <c r="F465" i="5"/>
  <c r="E465" i="5"/>
  <c r="D465" i="5"/>
  <c r="C465" i="5"/>
  <c r="B465" i="5"/>
  <c r="I464" i="5"/>
  <c r="H464" i="5"/>
  <c r="G464" i="5"/>
  <c r="F464" i="5"/>
  <c r="E464" i="5"/>
  <c r="D464" i="5"/>
  <c r="C464" i="5"/>
  <c r="B464" i="5"/>
  <c r="I463" i="5"/>
  <c r="H463" i="5"/>
  <c r="G463" i="5"/>
  <c r="F463" i="5"/>
  <c r="E463" i="5"/>
  <c r="D463" i="5"/>
  <c r="C463" i="5"/>
  <c r="B463" i="5"/>
  <c r="I462" i="5"/>
  <c r="H462" i="5"/>
  <c r="G462" i="5"/>
  <c r="F462" i="5"/>
  <c r="E462" i="5"/>
  <c r="D462" i="5"/>
  <c r="C462" i="5"/>
  <c r="B462" i="5"/>
  <c r="I461" i="5"/>
  <c r="H461" i="5"/>
  <c r="G461" i="5"/>
  <c r="F461" i="5"/>
  <c r="E461" i="5"/>
  <c r="D461" i="5"/>
  <c r="C461" i="5"/>
  <c r="B461" i="5"/>
  <c r="I460" i="5"/>
  <c r="H460" i="5"/>
  <c r="G460" i="5"/>
  <c r="F460" i="5"/>
  <c r="E460" i="5"/>
  <c r="D460" i="5"/>
  <c r="C460" i="5"/>
  <c r="B460" i="5"/>
  <c r="I459" i="5"/>
  <c r="H459" i="5"/>
  <c r="G459" i="5"/>
  <c r="F459" i="5"/>
  <c r="E459" i="5"/>
  <c r="D459" i="5"/>
  <c r="C459" i="5"/>
  <c r="B459" i="5"/>
  <c r="I458" i="5"/>
  <c r="H458" i="5"/>
  <c r="G458" i="5"/>
  <c r="F458" i="5"/>
  <c r="E458" i="5"/>
  <c r="D458" i="5"/>
  <c r="C458" i="5"/>
  <c r="B458" i="5"/>
  <c r="I457" i="5"/>
  <c r="H457" i="5"/>
  <c r="G457" i="5"/>
  <c r="F457" i="5"/>
  <c r="E457" i="5"/>
  <c r="D457" i="5"/>
  <c r="C457" i="5"/>
  <c r="B457" i="5"/>
  <c r="I456" i="5"/>
  <c r="H456" i="5"/>
  <c r="G456" i="5"/>
  <c r="F456" i="5"/>
  <c r="E456" i="5"/>
  <c r="D456" i="5"/>
  <c r="C456" i="5"/>
  <c r="B456" i="5"/>
  <c r="I455" i="5"/>
  <c r="H455" i="5"/>
  <c r="G455" i="5"/>
  <c r="F455" i="5"/>
  <c r="E455" i="5"/>
  <c r="D455" i="5"/>
  <c r="C455" i="5"/>
  <c r="B455" i="5"/>
  <c r="I454" i="5"/>
  <c r="H454" i="5"/>
  <c r="G454" i="5"/>
  <c r="F454" i="5"/>
  <c r="E454" i="5"/>
  <c r="D454" i="5"/>
  <c r="C454" i="5"/>
  <c r="B454" i="5"/>
  <c r="I453" i="5"/>
  <c r="H453" i="5"/>
  <c r="G453" i="5"/>
  <c r="F453" i="5"/>
  <c r="E453" i="5"/>
  <c r="D453" i="5"/>
  <c r="C453" i="5"/>
  <c r="B453" i="5"/>
  <c r="I452" i="5"/>
  <c r="H452" i="5"/>
  <c r="G452" i="5"/>
  <c r="F452" i="5"/>
  <c r="E452" i="5"/>
  <c r="D452" i="5"/>
  <c r="C452" i="5"/>
  <c r="B452" i="5"/>
  <c r="I451" i="5"/>
  <c r="H451" i="5"/>
  <c r="G451" i="5"/>
  <c r="F451" i="5"/>
  <c r="E451" i="5"/>
  <c r="D451" i="5"/>
  <c r="C451" i="5"/>
  <c r="B451" i="5"/>
  <c r="I450" i="5"/>
  <c r="H450" i="5"/>
  <c r="G450" i="5"/>
  <c r="F450" i="5"/>
  <c r="E450" i="5"/>
  <c r="D450" i="5"/>
  <c r="C450" i="5"/>
  <c r="B450" i="5"/>
  <c r="I449" i="5"/>
  <c r="H449" i="5"/>
  <c r="G449" i="5"/>
  <c r="F449" i="5"/>
  <c r="E449" i="5"/>
  <c r="D449" i="5"/>
  <c r="C449" i="5"/>
  <c r="B449" i="5"/>
  <c r="I448" i="5"/>
  <c r="H448" i="5"/>
  <c r="G448" i="5"/>
  <c r="F448" i="5"/>
  <c r="E448" i="5"/>
  <c r="D448" i="5"/>
  <c r="C448" i="5"/>
  <c r="B448" i="5"/>
  <c r="I447" i="5"/>
  <c r="H447" i="5"/>
  <c r="G447" i="5"/>
  <c r="F447" i="5"/>
  <c r="E447" i="5"/>
  <c r="D447" i="5"/>
  <c r="C447" i="5"/>
  <c r="B447" i="5"/>
  <c r="I446" i="5"/>
  <c r="H446" i="5"/>
  <c r="G446" i="5"/>
  <c r="F446" i="5"/>
  <c r="E446" i="5"/>
  <c r="D446" i="5"/>
  <c r="C446" i="5"/>
  <c r="B446" i="5"/>
  <c r="I445" i="5"/>
  <c r="H445" i="5"/>
  <c r="G445" i="5"/>
  <c r="F445" i="5"/>
  <c r="E445" i="5"/>
  <c r="D445" i="5"/>
  <c r="C445" i="5"/>
  <c r="B445" i="5"/>
  <c r="I444" i="5"/>
  <c r="H444" i="5"/>
  <c r="G444" i="5"/>
  <c r="F444" i="5"/>
  <c r="E444" i="5"/>
  <c r="D444" i="5"/>
  <c r="C444" i="5"/>
  <c r="B444" i="5"/>
  <c r="I443" i="5"/>
  <c r="H443" i="5"/>
  <c r="G443" i="5"/>
  <c r="F443" i="5"/>
  <c r="E443" i="5"/>
  <c r="D443" i="5"/>
  <c r="C443" i="5"/>
  <c r="B443" i="5"/>
  <c r="I442" i="5"/>
  <c r="H442" i="5"/>
  <c r="G442" i="5"/>
  <c r="F442" i="5"/>
  <c r="E442" i="5"/>
  <c r="D442" i="5"/>
  <c r="C442" i="5"/>
  <c r="B442" i="5"/>
  <c r="I441" i="5"/>
  <c r="H441" i="5"/>
  <c r="G441" i="5"/>
  <c r="F441" i="5"/>
  <c r="E441" i="5"/>
  <c r="D441" i="5"/>
  <c r="C441" i="5"/>
  <c r="B441" i="5"/>
  <c r="I440" i="5"/>
  <c r="H440" i="5"/>
  <c r="G440" i="5"/>
  <c r="F440" i="5"/>
  <c r="E440" i="5"/>
  <c r="D440" i="5"/>
  <c r="C440" i="5"/>
  <c r="B440" i="5"/>
  <c r="I439" i="5"/>
  <c r="H439" i="5"/>
  <c r="G439" i="5"/>
  <c r="F439" i="5"/>
  <c r="E439" i="5"/>
  <c r="D439" i="5"/>
  <c r="C439" i="5"/>
  <c r="B439" i="5"/>
  <c r="I438" i="5"/>
  <c r="H438" i="5"/>
  <c r="G438" i="5"/>
  <c r="F438" i="5"/>
  <c r="E438" i="5"/>
  <c r="D438" i="5"/>
  <c r="C438" i="5"/>
  <c r="B438" i="5"/>
  <c r="I437" i="5"/>
  <c r="H437" i="5"/>
  <c r="G437" i="5"/>
  <c r="F437" i="5"/>
  <c r="E437" i="5"/>
  <c r="D437" i="5"/>
  <c r="C437" i="5"/>
  <c r="B437" i="5"/>
  <c r="I436" i="5"/>
  <c r="H436" i="5"/>
  <c r="G436" i="5"/>
  <c r="F436" i="5"/>
  <c r="E436" i="5"/>
  <c r="D436" i="5"/>
  <c r="C436" i="5"/>
  <c r="B436" i="5"/>
  <c r="I435" i="5"/>
  <c r="H435" i="5"/>
  <c r="G435" i="5"/>
  <c r="F435" i="5"/>
  <c r="E435" i="5"/>
  <c r="D435" i="5"/>
  <c r="C435" i="5"/>
  <c r="B435" i="5"/>
  <c r="I434" i="5"/>
  <c r="H434" i="5"/>
  <c r="G434" i="5"/>
  <c r="F434" i="5"/>
  <c r="E434" i="5"/>
  <c r="D434" i="5"/>
  <c r="C434" i="5"/>
  <c r="B434" i="5"/>
  <c r="I433" i="5"/>
  <c r="H433" i="5"/>
  <c r="G433" i="5"/>
  <c r="F433" i="5"/>
  <c r="E433" i="5"/>
  <c r="D433" i="5"/>
  <c r="C433" i="5"/>
  <c r="B433" i="5"/>
  <c r="I432" i="5"/>
  <c r="H432" i="5"/>
  <c r="G432" i="5"/>
  <c r="F432" i="5"/>
  <c r="E432" i="5"/>
  <c r="D432" i="5"/>
  <c r="C432" i="5"/>
  <c r="B432" i="5"/>
  <c r="I431" i="5"/>
  <c r="H431" i="5"/>
  <c r="G431" i="5"/>
  <c r="F431" i="5"/>
  <c r="E431" i="5"/>
  <c r="D431" i="5"/>
  <c r="C431" i="5"/>
  <c r="B431" i="5"/>
  <c r="I430" i="5"/>
  <c r="H430" i="5"/>
  <c r="G430" i="5"/>
  <c r="F430" i="5"/>
  <c r="E430" i="5"/>
  <c r="D430" i="5"/>
  <c r="C430" i="5"/>
  <c r="B430" i="5"/>
  <c r="I429" i="5"/>
  <c r="H429" i="5"/>
  <c r="G429" i="5"/>
  <c r="F429" i="5"/>
  <c r="E429" i="5"/>
  <c r="D429" i="5"/>
  <c r="C429" i="5"/>
  <c r="B429" i="5"/>
  <c r="I428" i="5"/>
  <c r="H428" i="5"/>
  <c r="G428" i="5"/>
  <c r="F428" i="5"/>
  <c r="E428" i="5"/>
  <c r="D428" i="5"/>
  <c r="C428" i="5"/>
  <c r="B428" i="5"/>
  <c r="I427" i="5"/>
  <c r="H427" i="5"/>
  <c r="G427" i="5"/>
  <c r="F427" i="5"/>
  <c r="E427" i="5"/>
  <c r="D427" i="5"/>
  <c r="C427" i="5"/>
  <c r="B427" i="5"/>
  <c r="I426" i="5"/>
  <c r="H426" i="5"/>
  <c r="G426" i="5"/>
  <c r="F426" i="5"/>
  <c r="E426" i="5"/>
  <c r="D426" i="5"/>
  <c r="C426" i="5"/>
  <c r="B426" i="5"/>
  <c r="I425" i="5"/>
  <c r="H425" i="5"/>
  <c r="G425" i="5"/>
  <c r="F425" i="5"/>
  <c r="E425" i="5"/>
  <c r="D425" i="5"/>
  <c r="C425" i="5"/>
  <c r="B425" i="5"/>
  <c r="I424" i="5"/>
  <c r="H424" i="5"/>
  <c r="G424" i="5"/>
  <c r="F424" i="5"/>
  <c r="E424" i="5"/>
  <c r="D424" i="5"/>
  <c r="C424" i="5"/>
  <c r="B424" i="5"/>
  <c r="I423" i="5"/>
  <c r="H423" i="5"/>
  <c r="G423" i="5"/>
  <c r="F423" i="5"/>
  <c r="E423" i="5"/>
  <c r="D423" i="5"/>
  <c r="C423" i="5"/>
  <c r="B423" i="5"/>
  <c r="I422" i="5"/>
  <c r="H422" i="5"/>
  <c r="G422" i="5"/>
  <c r="F422" i="5"/>
  <c r="E422" i="5"/>
  <c r="D422" i="5"/>
  <c r="C422" i="5"/>
  <c r="B422" i="5"/>
  <c r="I421" i="5"/>
  <c r="H421" i="5"/>
  <c r="G421" i="5"/>
  <c r="F421" i="5"/>
  <c r="E421" i="5"/>
  <c r="D421" i="5"/>
  <c r="C421" i="5"/>
  <c r="B421" i="5"/>
  <c r="I420" i="5"/>
  <c r="H420" i="5"/>
  <c r="G420" i="5"/>
  <c r="F420" i="5"/>
  <c r="E420" i="5"/>
  <c r="D420" i="5"/>
  <c r="C420" i="5"/>
  <c r="B420" i="5"/>
  <c r="I419" i="5"/>
  <c r="H419" i="5"/>
  <c r="G419" i="5"/>
  <c r="F419" i="5"/>
  <c r="E419" i="5"/>
  <c r="D419" i="5"/>
  <c r="C419" i="5"/>
  <c r="B419" i="5"/>
  <c r="I418" i="5"/>
  <c r="H418" i="5"/>
  <c r="G418" i="5"/>
  <c r="F418" i="5"/>
  <c r="E418" i="5"/>
  <c r="D418" i="5"/>
  <c r="C418" i="5"/>
  <c r="B418" i="5"/>
  <c r="I417" i="5"/>
  <c r="H417" i="5"/>
  <c r="G417" i="5"/>
  <c r="F417" i="5"/>
  <c r="E417" i="5"/>
  <c r="D417" i="5"/>
  <c r="C417" i="5"/>
  <c r="B417" i="5"/>
  <c r="I416" i="5"/>
  <c r="H416" i="5"/>
  <c r="G416" i="5"/>
  <c r="F416" i="5"/>
  <c r="E416" i="5"/>
  <c r="D416" i="5"/>
  <c r="C416" i="5"/>
  <c r="B416" i="5"/>
  <c r="I415" i="5"/>
  <c r="H415" i="5"/>
  <c r="G415" i="5"/>
  <c r="F415" i="5"/>
  <c r="E415" i="5"/>
  <c r="D415" i="5"/>
  <c r="C415" i="5"/>
  <c r="B415" i="5"/>
  <c r="I414" i="5"/>
  <c r="H414" i="5"/>
  <c r="G414" i="5"/>
  <c r="F414" i="5"/>
  <c r="E414" i="5"/>
  <c r="D414" i="5"/>
  <c r="C414" i="5"/>
  <c r="B414" i="5"/>
  <c r="I413" i="5"/>
  <c r="H413" i="5"/>
  <c r="G413" i="5"/>
  <c r="F413" i="5"/>
  <c r="E413" i="5"/>
  <c r="D413" i="5"/>
  <c r="C413" i="5"/>
  <c r="B413" i="5"/>
  <c r="I412" i="5"/>
  <c r="H412" i="5"/>
  <c r="G412" i="5"/>
  <c r="F412" i="5"/>
  <c r="E412" i="5"/>
  <c r="D412" i="5"/>
  <c r="C412" i="5"/>
  <c r="B412" i="5"/>
  <c r="I411" i="5"/>
  <c r="H411" i="5"/>
  <c r="G411" i="5"/>
  <c r="F411" i="5"/>
  <c r="E411" i="5"/>
  <c r="D411" i="5"/>
  <c r="C411" i="5"/>
  <c r="B411" i="5"/>
  <c r="I410" i="5"/>
  <c r="H410" i="5"/>
  <c r="G410" i="5"/>
  <c r="F410" i="5"/>
  <c r="E410" i="5"/>
  <c r="D410" i="5"/>
  <c r="C410" i="5"/>
  <c r="B410" i="5"/>
  <c r="I409" i="5"/>
  <c r="H409" i="5"/>
  <c r="G409" i="5"/>
  <c r="F409" i="5"/>
  <c r="E409" i="5"/>
  <c r="D409" i="5"/>
  <c r="C409" i="5"/>
  <c r="B409" i="5"/>
  <c r="I408" i="5"/>
  <c r="H408" i="5"/>
  <c r="G408" i="5"/>
  <c r="F408" i="5"/>
  <c r="E408" i="5"/>
  <c r="D408" i="5"/>
  <c r="C408" i="5"/>
  <c r="B408" i="5"/>
  <c r="I407" i="5"/>
  <c r="H407" i="5"/>
  <c r="G407" i="5"/>
  <c r="F407" i="5"/>
  <c r="E407" i="5"/>
  <c r="D407" i="5"/>
  <c r="C407" i="5"/>
  <c r="B407" i="5"/>
  <c r="I406" i="5"/>
  <c r="H406" i="5"/>
  <c r="G406" i="5"/>
  <c r="F406" i="5"/>
  <c r="E406" i="5"/>
  <c r="D406" i="5"/>
  <c r="C406" i="5"/>
  <c r="B406" i="5"/>
  <c r="I405" i="5"/>
  <c r="H405" i="5"/>
  <c r="G405" i="5"/>
  <c r="F405" i="5"/>
  <c r="E405" i="5"/>
  <c r="D405" i="5"/>
  <c r="C405" i="5"/>
  <c r="B405" i="5"/>
  <c r="I404" i="5"/>
  <c r="H404" i="5"/>
  <c r="G404" i="5"/>
  <c r="F404" i="5"/>
  <c r="E404" i="5"/>
  <c r="D404" i="5"/>
  <c r="C404" i="5"/>
  <c r="B404" i="5"/>
  <c r="I403" i="5"/>
  <c r="H403" i="5"/>
  <c r="G403" i="5"/>
  <c r="F403" i="5"/>
  <c r="E403" i="5"/>
  <c r="D403" i="5"/>
  <c r="C403" i="5"/>
  <c r="B403" i="5"/>
  <c r="I402" i="5"/>
  <c r="H402" i="5"/>
  <c r="G402" i="5"/>
  <c r="F402" i="5"/>
  <c r="E402" i="5"/>
  <c r="D402" i="5"/>
  <c r="C402" i="5"/>
  <c r="B402" i="5"/>
  <c r="I401" i="5"/>
  <c r="H401" i="5"/>
  <c r="G401" i="5"/>
  <c r="F401" i="5"/>
  <c r="E401" i="5"/>
  <c r="D401" i="5"/>
  <c r="C401" i="5"/>
  <c r="B401" i="5"/>
  <c r="I400" i="5"/>
  <c r="H400" i="5"/>
  <c r="G400" i="5"/>
  <c r="F400" i="5"/>
  <c r="E400" i="5"/>
  <c r="D400" i="5"/>
  <c r="C400" i="5"/>
  <c r="B400" i="5"/>
  <c r="I399" i="5"/>
  <c r="H399" i="5"/>
  <c r="G399" i="5"/>
  <c r="F399" i="5"/>
  <c r="E399" i="5"/>
  <c r="D399" i="5"/>
  <c r="C399" i="5"/>
  <c r="B399" i="5"/>
  <c r="I398" i="5"/>
  <c r="H398" i="5"/>
  <c r="G398" i="5"/>
  <c r="F398" i="5"/>
  <c r="E398" i="5"/>
  <c r="D398" i="5"/>
  <c r="C398" i="5"/>
  <c r="B398" i="5"/>
  <c r="I397" i="5"/>
  <c r="H397" i="5"/>
  <c r="G397" i="5"/>
  <c r="F397" i="5"/>
  <c r="E397" i="5"/>
  <c r="D397" i="5"/>
  <c r="C397" i="5"/>
  <c r="B397" i="5"/>
  <c r="I396" i="5"/>
  <c r="H396" i="5"/>
  <c r="G396" i="5"/>
  <c r="F396" i="5"/>
  <c r="E396" i="5"/>
  <c r="D396" i="5"/>
  <c r="C396" i="5"/>
  <c r="B396" i="5"/>
  <c r="I395" i="5"/>
  <c r="H395" i="5"/>
  <c r="G395" i="5"/>
  <c r="F395" i="5"/>
  <c r="E395" i="5"/>
  <c r="D395" i="5"/>
  <c r="C395" i="5"/>
  <c r="B395" i="5"/>
  <c r="I394" i="5"/>
  <c r="H394" i="5"/>
  <c r="G394" i="5"/>
  <c r="F394" i="5"/>
  <c r="E394" i="5"/>
  <c r="D394" i="5"/>
  <c r="C394" i="5"/>
  <c r="B394" i="5"/>
  <c r="I393" i="5"/>
  <c r="H393" i="5"/>
  <c r="G393" i="5"/>
  <c r="F393" i="5"/>
  <c r="E393" i="5"/>
  <c r="D393" i="5"/>
  <c r="C393" i="5"/>
  <c r="B393" i="5"/>
  <c r="I392" i="5"/>
  <c r="H392" i="5"/>
  <c r="G392" i="5"/>
  <c r="F392" i="5"/>
  <c r="E392" i="5"/>
  <c r="D392" i="5"/>
  <c r="C392" i="5"/>
  <c r="B392" i="5"/>
  <c r="I391" i="5"/>
  <c r="H391" i="5"/>
  <c r="G391" i="5"/>
  <c r="F391" i="5"/>
  <c r="E391" i="5"/>
  <c r="D391" i="5"/>
  <c r="C391" i="5"/>
  <c r="B391" i="5"/>
  <c r="I390" i="5"/>
  <c r="H390" i="5"/>
  <c r="G390" i="5"/>
  <c r="F390" i="5"/>
  <c r="E390" i="5"/>
  <c r="D390" i="5"/>
  <c r="C390" i="5"/>
  <c r="B390" i="5"/>
  <c r="I389" i="5"/>
  <c r="H389" i="5"/>
  <c r="G389" i="5"/>
  <c r="F389" i="5"/>
  <c r="E389" i="5"/>
  <c r="D389" i="5"/>
  <c r="C389" i="5"/>
  <c r="B389" i="5"/>
  <c r="I388" i="5"/>
  <c r="H388" i="5"/>
  <c r="G388" i="5"/>
  <c r="F388" i="5"/>
  <c r="E388" i="5"/>
  <c r="D388" i="5"/>
  <c r="C388" i="5"/>
  <c r="B388" i="5"/>
  <c r="I387" i="5"/>
  <c r="H387" i="5"/>
  <c r="G387" i="5"/>
  <c r="F387" i="5"/>
  <c r="E387" i="5"/>
  <c r="D387" i="5"/>
  <c r="C387" i="5"/>
  <c r="B387" i="5"/>
  <c r="I386" i="5"/>
  <c r="H386" i="5"/>
  <c r="G386" i="5"/>
  <c r="F386" i="5"/>
  <c r="E386" i="5"/>
  <c r="D386" i="5"/>
  <c r="C386" i="5"/>
  <c r="B386" i="5"/>
  <c r="I385" i="5"/>
  <c r="H385" i="5"/>
  <c r="G385" i="5"/>
  <c r="F385" i="5"/>
  <c r="E385" i="5"/>
  <c r="D385" i="5"/>
  <c r="C385" i="5"/>
  <c r="B385" i="5"/>
  <c r="I384" i="5"/>
  <c r="H384" i="5"/>
  <c r="G384" i="5"/>
  <c r="F384" i="5"/>
  <c r="E384" i="5"/>
  <c r="D384" i="5"/>
  <c r="C384" i="5"/>
  <c r="B384" i="5"/>
  <c r="I383" i="5"/>
  <c r="H383" i="5"/>
  <c r="G383" i="5"/>
  <c r="F383" i="5"/>
  <c r="E383" i="5"/>
  <c r="D383" i="5"/>
  <c r="C383" i="5"/>
  <c r="B383" i="5"/>
  <c r="I382" i="5"/>
  <c r="H382" i="5"/>
  <c r="G382" i="5"/>
  <c r="F382" i="5"/>
  <c r="E382" i="5"/>
  <c r="D382" i="5"/>
  <c r="C382" i="5"/>
  <c r="B382" i="5"/>
  <c r="I381" i="5"/>
  <c r="H381" i="5"/>
  <c r="G381" i="5"/>
  <c r="F381" i="5"/>
  <c r="E381" i="5"/>
  <c r="D381" i="5"/>
  <c r="C381" i="5"/>
  <c r="B381" i="5"/>
  <c r="I380" i="5"/>
  <c r="H380" i="5"/>
  <c r="G380" i="5"/>
  <c r="F380" i="5"/>
  <c r="E380" i="5"/>
  <c r="D380" i="5"/>
  <c r="C380" i="5"/>
  <c r="B380" i="5"/>
  <c r="I379" i="5"/>
  <c r="H379" i="5"/>
  <c r="G379" i="5"/>
  <c r="F379" i="5"/>
  <c r="E379" i="5"/>
  <c r="D379" i="5"/>
  <c r="C379" i="5"/>
  <c r="B379" i="5"/>
  <c r="I378" i="5"/>
  <c r="H378" i="5"/>
  <c r="G378" i="5"/>
  <c r="F378" i="5"/>
  <c r="E378" i="5"/>
  <c r="D378" i="5"/>
  <c r="C378" i="5"/>
  <c r="B378" i="5"/>
  <c r="I377" i="5"/>
  <c r="H377" i="5"/>
  <c r="G377" i="5"/>
  <c r="F377" i="5"/>
  <c r="E377" i="5"/>
  <c r="D377" i="5"/>
  <c r="C377" i="5"/>
  <c r="B377" i="5"/>
  <c r="I376" i="5"/>
  <c r="H376" i="5"/>
  <c r="G376" i="5"/>
  <c r="F376" i="5"/>
  <c r="E376" i="5"/>
  <c r="D376" i="5"/>
  <c r="C376" i="5"/>
  <c r="B376" i="5"/>
  <c r="I375" i="5"/>
  <c r="H375" i="5"/>
  <c r="G375" i="5"/>
  <c r="F375" i="5"/>
  <c r="E375" i="5"/>
  <c r="D375" i="5"/>
  <c r="C375" i="5"/>
  <c r="B375" i="5"/>
  <c r="I374" i="5"/>
  <c r="H374" i="5"/>
  <c r="G374" i="5"/>
  <c r="F374" i="5"/>
  <c r="E374" i="5"/>
  <c r="D374" i="5"/>
  <c r="C374" i="5"/>
  <c r="B374" i="5"/>
  <c r="I373" i="5"/>
  <c r="H373" i="5"/>
  <c r="G373" i="5"/>
  <c r="F373" i="5"/>
  <c r="E373" i="5"/>
  <c r="D373" i="5"/>
  <c r="C373" i="5"/>
  <c r="B373" i="5"/>
  <c r="I372" i="5"/>
  <c r="H372" i="5"/>
  <c r="G372" i="5"/>
  <c r="F372" i="5"/>
  <c r="E372" i="5"/>
  <c r="D372" i="5"/>
  <c r="C372" i="5"/>
  <c r="B372" i="5"/>
  <c r="I371" i="5"/>
  <c r="H371" i="5"/>
  <c r="G371" i="5"/>
  <c r="F371" i="5"/>
  <c r="E371" i="5"/>
  <c r="D371" i="5"/>
  <c r="C371" i="5"/>
  <c r="B371" i="5"/>
  <c r="I370" i="5"/>
  <c r="H370" i="5"/>
  <c r="G370" i="5"/>
  <c r="F370" i="5"/>
  <c r="E370" i="5"/>
  <c r="D370" i="5"/>
  <c r="C370" i="5"/>
  <c r="B370" i="5"/>
  <c r="I369" i="5"/>
  <c r="H369" i="5"/>
  <c r="G369" i="5"/>
  <c r="F369" i="5"/>
  <c r="E369" i="5"/>
  <c r="D369" i="5"/>
  <c r="C369" i="5"/>
  <c r="B369" i="5"/>
  <c r="I368" i="5"/>
  <c r="G368" i="5"/>
  <c r="F368" i="5"/>
  <c r="E368" i="5"/>
  <c r="D368" i="5"/>
  <c r="C368" i="5"/>
  <c r="B368" i="5"/>
  <c r="I367" i="5"/>
  <c r="H367" i="5"/>
  <c r="G367" i="5"/>
  <c r="F367" i="5"/>
  <c r="E367" i="5"/>
  <c r="D367" i="5"/>
  <c r="C367" i="5"/>
  <c r="B367" i="5"/>
  <c r="I366" i="5"/>
  <c r="H366" i="5"/>
  <c r="G366" i="5"/>
  <c r="F366" i="5"/>
  <c r="E366" i="5"/>
  <c r="D366" i="5"/>
  <c r="C366" i="5"/>
  <c r="B366" i="5"/>
  <c r="I365" i="5"/>
  <c r="H365" i="5"/>
  <c r="G365" i="5"/>
  <c r="F365" i="5"/>
  <c r="E365" i="5"/>
  <c r="D365" i="5"/>
  <c r="C365" i="5"/>
  <c r="B365" i="5"/>
  <c r="I364" i="5"/>
  <c r="H364" i="5"/>
  <c r="G364" i="5"/>
  <c r="F364" i="5"/>
  <c r="E364" i="5"/>
  <c r="D364" i="5"/>
  <c r="C364" i="5"/>
  <c r="B364" i="5"/>
  <c r="I363" i="5"/>
  <c r="H363" i="5"/>
  <c r="G363" i="5"/>
  <c r="F363" i="5"/>
  <c r="E363" i="5"/>
  <c r="D363" i="5"/>
  <c r="C363" i="5"/>
  <c r="B363" i="5"/>
  <c r="I362" i="5"/>
  <c r="H362" i="5"/>
  <c r="G362" i="5"/>
  <c r="F362" i="5"/>
  <c r="E362" i="5"/>
  <c r="D362" i="5"/>
  <c r="C362" i="5"/>
  <c r="B362" i="5"/>
  <c r="I361" i="5"/>
  <c r="H361" i="5"/>
  <c r="G361" i="5"/>
  <c r="F361" i="5"/>
  <c r="E361" i="5"/>
  <c r="D361" i="5"/>
  <c r="C361" i="5"/>
  <c r="B361" i="5"/>
  <c r="I360" i="5"/>
  <c r="H360" i="5"/>
  <c r="G360" i="5"/>
  <c r="F360" i="5"/>
  <c r="E360" i="5"/>
  <c r="D360" i="5"/>
  <c r="C360" i="5"/>
  <c r="B360" i="5"/>
  <c r="I359" i="5"/>
  <c r="H359" i="5"/>
  <c r="G359" i="5"/>
  <c r="F359" i="5"/>
  <c r="E359" i="5"/>
  <c r="D359" i="5"/>
  <c r="C359" i="5"/>
  <c r="B359" i="5"/>
  <c r="I358" i="5"/>
  <c r="H358" i="5"/>
  <c r="G358" i="5"/>
  <c r="F358" i="5"/>
  <c r="E358" i="5"/>
  <c r="D358" i="5"/>
  <c r="C358" i="5"/>
  <c r="B358" i="5"/>
  <c r="I357" i="5"/>
  <c r="H357" i="5"/>
  <c r="G357" i="5"/>
  <c r="F357" i="5"/>
  <c r="E357" i="5"/>
  <c r="D357" i="5"/>
  <c r="C357" i="5"/>
  <c r="B357" i="5"/>
  <c r="I356" i="5"/>
  <c r="H356" i="5"/>
  <c r="G356" i="5"/>
  <c r="F356" i="5"/>
  <c r="E356" i="5"/>
  <c r="D356" i="5"/>
  <c r="C356" i="5"/>
  <c r="B356" i="5"/>
  <c r="I355" i="5"/>
  <c r="H355" i="5"/>
  <c r="G355" i="5"/>
  <c r="F355" i="5"/>
  <c r="E355" i="5"/>
  <c r="D355" i="5"/>
  <c r="C355" i="5"/>
  <c r="B355" i="5"/>
  <c r="I354" i="5"/>
  <c r="H354" i="5"/>
  <c r="G354" i="5"/>
  <c r="F354" i="5"/>
  <c r="E354" i="5"/>
  <c r="D354" i="5"/>
  <c r="C354" i="5"/>
  <c r="B354" i="5"/>
  <c r="I353" i="5"/>
  <c r="H353" i="5"/>
  <c r="G353" i="5"/>
  <c r="F353" i="5"/>
  <c r="E353" i="5"/>
  <c r="D353" i="5"/>
  <c r="C353" i="5"/>
  <c r="B353" i="5"/>
  <c r="I352" i="5"/>
  <c r="H352" i="5"/>
  <c r="G352" i="5"/>
  <c r="F352" i="5"/>
  <c r="E352" i="5"/>
  <c r="D352" i="5"/>
  <c r="C352" i="5"/>
  <c r="B352" i="5"/>
  <c r="I351" i="5"/>
  <c r="H351" i="5"/>
  <c r="G351" i="5"/>
  <c r="F351" i="5"/>
  <c r="E351" i="5"/>
  <c r="D351" i="5"/>
  <c r="C351" i="5"/>
  <c r="B351" i="5"/>
  <c r="I350" i="5"/>
  <c r="H350" i="5"/>
  <c r="G350" i="5"/>
  <c r="F350" i="5"/>
  <c r="E350" i="5"/>
  <c r="D350" i="5"/>
  <c r="C350" i="5"/>
  <c r="B350" i="5"/>
  <c r="I349" i="5"/>
  <c r="H349" i="5"/>
  <c r="G349" i="5"/>
  <c r="F349" i="5"/>
  <c r="E349" i="5"/>
  <c r="D349" i="5"/>
  <c r="C349" i="5"/>
  <c r="B349" i="5"/>
  <c r="I348" i="5"/>
  <c r="H348" i="5"/>
  <c r="G348" i="5"/>
  <c r="F348" i="5"/>
  <c r="E348" i="5"/>
  <c r="D348" i="5"/>
  <c r="C348" i="5"/>
  <c r="B348" i="5"/>
  <c r="I347" i="5"/>
  <c r="H347" i="5"/>
  <c r="G347" i="5"/>
  <c r="F347" i="5"/>
  <c r="E347" i="5"/>
  <c r="D347" i="5"/>
  <c r="C347" i="5"/>
  <c r="B347" i="5"/>
  <c r="I346" i="5"/>
  <c r="H346" i="5"/>
  <c r="G346" i="5"/>
  <c r="F346" i="5"/>
  <c r="E346" i="5"/>
  <c r="D346" i="5"/>
  <c r="C346" i="5"/>
  <c r="B346" i="5"/>
  <c r="I345" i="5"/>
  <c r="H345" i="5"/>
  <c r="G345" i="5"/>
  <c r="F345" i="5"/>
  <c r="E345" i="5"/>
  <c r="D345" i="5"/>
  <c r="C345" i="5"/>
  <c r="B345" i="5"/>
  <c r="I344" i="5"/>
  <c r="H344" i="5"/>
  <c r="G344" i="5"/>
  <c r="F344" i="5"/>
  <c r="E344" i="5"/>
  <c r="D344" i="5"/>
  <c r="C344" i="5"/>
  <c r="B344" i="5"/>
  <c r="I343" i="5"/>
  <c r="H343" i="5"/>
  <c r="G343" i="5"/>
  <c r="F343" i="5"/>
  <c r="E343" i="5"/>
  <c r="D343" i="5"/>
  <c r="C343" i="5"/>
  <c r="B343" i="5"/>
  <c r="I342" i="5"/>
  <c r="H342" i="5"/>
  <c r="G342" i="5"/>
  <c r="F342" i="5"/>
  <c r="E342" i="5"/>
  <c r="D342" i="5"/>
  <c r="C342" i="5"/>
  <c r="B342" i="5"/>
  <c r="I341" i="5"/>
  <c r="H341" i="5"/>
  <c r="G341" i="5"/>
  <c r="F341" i="5"/>
  <c r="E341" i="5"/>
  <c r="D341" i="5"/>
  <c r="C341" i="5"/>
  <c r="B341" i="5"/>
  <c r="I340" i="5"/>
  <c r="H340" i="5"/>
  <c r="G340" i="5"/>
  <c r="F340" i="5"/>
  <c r="E340" i="5"/>
  <c r="D340" i="5"/>
  <c r="C340" i="5"/>
  <c r="B340" i="5"/>
  <c r="I339" i="5"/>
  <c r="H339" i="5"/>
  <c r="G339" i="5"/>
  <c r="F339" i="5"/>
  <c r="E339" i="5"/>
  <c r="D339" i="5"/>
  <c r="C339" i="5"/>
  <c r="B339" i="5"/>
  <c r="I338" i="5"/>
  <c r="H338" i="5"/>
  <c r="G338" i="5"/>
  <c r="F338" i="5"/>
  <c r="E338" i="5"/>
  <c r="D338" i="5"/>
  <c r="C338" i="5"/>
  <c r="B338" i="5"/>
  <c r="I337" i="5"/>
  <c r="H337" i="5"/>
  <c r="G337" i="5"/>
  <c r="F337" i="5"/>
  <c r="E337" i="5"/>
  <c r="D337" i="5"/>
  <c r="C337" i="5"/>
  <c r="B337" i="5"/>
  <c r="I336" i="5"/>
  <c r="H336" i="5"/>
  <c r="G336" i="5"/>
  <c r="F336" i="5"/>
  <c r="E336" i="5"/>
  <c r="D336" i="5"/>
  <c r="C336" i="5"/>
  <c r="B336" i="5"/>
  <c r="I335" i="5"/>
  <c r="H335" i="5"/>
  <c r="G335" i="5"/>
  <c r="F335" i="5"/>
  <c r="E335" i="5"/>
  <c r="D335" i="5"/>
  <c r="C335" i="5"/>
  <c r="B335" i="5"/>
  <c r="I334" i="5"/>
  <c r="H334" i="5"/>
  <c r="G334" i="5"/>
  <c r="F334" i="5"/>
  <c r="E334" i="5"/>
  <c r="D334" i="5"/>
  <c r="C334" i="5"/>
  <c r="B334" i="5"/>
  <c r="I333" i="5"/>
  <c r="H333" i="5"/>
  <c r="G333" i="5"/>
  <c r="F333" i="5"/>
  <c r="E333" i="5"/>
  <c r="D333" i="5"/>
  <c r="C333" i="5"/>
  <c r="B333" i="5"/>
  <c r="I332" i="5"/>
  <c r="H332" i="5"/>
  <c r="G332" i="5"/>
  <c r="F332" i="5"/>
  <c r="E332" i="5"/>
  <c r="D332" i="5"/>
  <c r="C332" i="5"/>
  <c r="B332" i="5"/>
  <c r="I331" i="5"/>
  <c r="H331" i="5"/>
  <c r="G331" i="5"/>
  <c r="F331" i="5"/>
  <c r="E331" i="5"/>
  <c r="D331" i="5"/>
  <c r="C331" i="5"/>
  <c r="B331" i="5"/>
  <c r="I330" i="5"/>
  <c r="H330" i="5"/>
  <c r="G330" i="5"/>
  <c r="F330" i="5"/>
  <c r="E330" i="5"/>
  <c r="D330" i="5"/>
  <c r="C330" i="5"/>
  <c r="B330" i="5"/>
  <c r="I329" i="5"/>
  <c r="H329" i="5"/>
  <c r="G329" i="5"/>
  <c r="F329" i="5"/>
  <c r="E329" i="5"/>
  <c r="D329" i="5"/>
  <c r="C329" i="5"/>
  <c r="B329" i="5"/>
  <c r="I328" i="5"/>
  <c r="H328" i="5"/>
  <c r="G328" i="5"/>
  <c r="F328" i="5"/>
  <c r="E328" i="5"/>
  <c r="D328" i="5"/>
  <c r="C328" i="5"/>
  <c r="B328" i="5"/>
  <c r="I327" i="5"/>
  <c r="H327" i="5"/>
  <c r="G327" i="5"/>
  <c r="F327" i="5"/>
  <c r="E327" i="5"/>
  <c r="D327" i="5"/>
  <c r="C327" i="5"/>
  <c r="B327" i="5"/>
  <c r="I326" i="5"/>
  <c r="H326" i="5"/>
  <c r="G326" i="5"/>
  <c r="F326" i="5"/>
  <c r="E326" i="5"/>
  <c r="D326" i="5"/>
  <c r="C326" i="5"/>
  <c r="B326" i="5"/>
  <c r="I325" i="5"/>
  <c r="H325" i="5"/>
  <c r="G325" i="5"/>
  <c r="F325" i="5"/>
  <c r="E325" i="5"/>
  <c r="D325" i="5"/>
  <c r="C325" i="5"/>
  <c r="B325" i="5"/>
  <c r="I324" i="5"/>
  <c r="H324" i="5"/>
  <c r="G324" i="5"/>
  <c r="F324" i="5"/>
  <c r="E324" i="5"/>
  <c r="D324" i="5"/>
  <c r="C324" i="5"/>
  <c r="B324" i="5"/>
  <c r="I323" i="5"/>
  <c r="H323" i="5"/>
  <c r="G323" i="5"/>
  <c r="F323" i="5"/>
  <c r="E323" i="5"/>
  <c r="D323" i="5"/>
  <c r="C323" i="5"/>
  <c r="B323" i="5"/>
  <c r="I322" i="5"/>
  <c r="H322" i="5"/>
  <c r="G322" i="5"/>
  <c r="F322" i="5"/>
  <c r="E322" i="5"/>
  <c r="D322" i="5"/>
  <c r="C322" i="5"/>
  <c r="B322" i="5"/>
  <c r="I321" i="5"/>
  <c r="H321" i="5"/>
  <c r="G321" i="5"/>
  <c r="F321" i="5"/>
  <c r="E321" i="5"/>
  <c r="D321" i="5"/>
  <c r="C321" i="5"/>
  <c r="B321" i="5"/>
  <c r="I320" i="5"/>
  <c r="H320" i="5"/>
  <c r="G320" i="5"/>
  <c r="F320" i="5"/>
  <c r="E320" i="5"/>
  <c r="D320" i="5"/>
  <c r="C320" i="5"/>
  <c r="B320" i="5"/>
  <c r="I319" i="5"/>
  <c r="H319" i="5"/>
  <c r="G319" i="5"/>
  <c r="F319" i="5"/>
  <c r="E319" i="5"/>
  <c r="D319" i="5"/>
  <c r="C319" i="5"/>
  <c r="B319" i="5"/>
  <c r="I318" i="5"/>
  <c r="H318" i="5"/>
  <c r="G318" i="5"/>
  <c r="F318" i="5"/>
  <c r="E318" i="5"/>
  <c r="D318" i="5"/>
  <c r="C318" i="5"/>
  <c r="B318" i="5"/>
  <c r="I317" i="5"/>
  <c r="H317" i="5"/>
  <c r="G317" i="5"/>
  <c r="F317" i="5"/>
  <c r="E317" i="5"/>
  <c r="D317" i="5"/>
  <c r="C317" i="5"/>
  <c r="B317" i="5"/>
  <c r="I316" i="5"/>
  <c r="H316" i="5"/>
  <c r="G316" i="5"/>
  <c r="F316" i="5"/>
  <c r="E316" i="5"/>
  <c r="D316" i="5"/>
  <c r="C316" i="5"/>
  <c r="B316" i="5"/>
  <c r="I315" i="5"/>
  <c r="H315" i="5"/>
  <c r="G315" i="5"/>
  <c r="F315" i="5"/>
  <c r="E315" i="5"/>
  <c r="D315" i="5"/>
  <c r="C315" i="5"/>
  <c r="B315" i="5"/>
  <c r="I314" i="5"/>
  <c r="H314" i="5"/>
  <c r="G314" i="5"/>
  <c r="F314" i="5"/>
  <c r="E314" i="5"/>
  <c r="D314" i="5"/>
  <c r="C314" i="5"/>
  <c r="B314" i="5"/>
  <c r="I313" i="5"/>
  <c r="H313" i="5"/>
  <c r="G313" i="5"/>
  <c r="F313" i="5"/>
  <c r="E313" i="5"/>
  <c r="D313" i="5"/>
  <c r="C313" i="5"/>
  <c r="B313" i="5"/>
  <c r="I312" i="5"/>
  <c r="H312" i="5"/>
  <c r="G312" i="5"/>
  <c r="F312" i="5"/>
  <c r="E312" i="5"/>
  <c r="D312" i="5"/>
  <c r="C312" i="5"/>
  <c r="B312" i="5"/>
  <c r="I311" i="5"/>
  <c r="H311" i="5"/>
  <c r="G311" i="5"/>
  <c r="F311" i="5"/>
  <c r="E311" i="5"/>
  <c r="D311" i="5"/>
  <c r="C311" i="5"/>
  <c r="B311" i="5"/>
  <c r="I310" i="5"/>
  <c r="H310" i="5"/>
  <c r="G310" i="5"/>
  <c r="F310" i="5"/>
  <c r="E310" i="5"/>
  <c r="D310" i="5"/>
  <c r="C310" i="5"/>
  <c r="B310" i="5"/>
  <c r="I309" i="5"/>
  <c r="H309" i="5"/>
  <c r="G309" i="5"/>
  <c r="F309" i="5"/>
  <c r="E309" i="5"/>
  <c r="D309" i="5"/>
  <c r="C309" i="5"/>
  <c r="B309" i="5"/>
  <c r="I308" i="5"/>
  <c r="H308" i="5"/>
  <c r="G308" i="5"/>
  <c r="F308" i="5"/>
  <c r="E308" i="5"/>
  <c r="D308" i="5"/>
  <c r="C308" i="5"/>
  <c r="B308" i="5"/>
  <c r="I307" i="5"/>
  <c r="H307" i="5"/>
  <c r="G307" i="5"/>
  <c r="F307" i="5"/>
  <c r="E307" i="5"/>
  <c r="D307" i="5"/>
  <c r="C307" i="5"/>
  <c r="B307" i="5"/>
  <c r="I306" i="5"/>
  <c r="H306" i="5"/>
  <c r="G306" i="5"/>
  <c r="F306" i="5"/>
  <c r="E306" i="5"/>
  <c r="D306" i="5"/>
  <c r="C306" i="5"/>
  <c r="B306" i="5"/>
  <c r="I305" i="5"/>
  <c r="H305" i="5"/>
  <c r="G305" i="5"/>
  <c r="F305" i="5"/>
  <c r="E305" i="5"/>
  <c r="D305" i="5"/>
  <c r="C305" i="5"/>
  <c r="B305" i="5"/>
  <c r="I304" i="5"/>
  <c r="H304" i="5"/>
  <c r="G304" i="5"/>
  <c r="F304" i="5"/>
  <c r="E304" i="5"/>
  <c r="D304" i="5"/>
  <c r="C304" i="5"/>
  <c r="B304" i="5"/>
  <c r="I303" i="5"/>
  <c r="H303" i="5"/>
  <c r="G303" i="5"/>
  <c r="F303" i="5"/>
  <c r="E303" i="5"/>
  <c r="D303" i="5"/>
  <c r="C303" i="5"/>
  <c r="B303" i="5"/>
  <c r="I302" i="5"/>
  <c r="H302" i="5"/>
  <c r="G302" i="5"/>
  <c r="F302" i="5"/>
  <c r="E302" i="5"/>
  <c r="D302" i="5"/>
  <c r="C302" i="5"/>
  <c r="B302" i="5"/>
  <c r="I301" i="5"/>
  <c r="H301" i="5"/>
  <c r="G301" i="5"/>
  <c r="F301" i="5"/>
  <c r="E301" i="5"/>
  <c r="D301" i="5"/>
  <c r="C301" i="5"/>
  <c r="B301" i="5"/>
  <c r="I300" i="5"/>
  <c r="H300" i="5"/>
  <c r="G300" i="5"/>
  <c r="F300" i="5"/>
  <c r="E300" i="5"/>
  <c r="D300" i="5"/>
  <c r="C300" i="5"/>
  <c r="B300" i="5"/>
  <c r="I299" i="5"/>
  <c r="H299" i="5"/>
  <c r="G299" i="5"/>
  <c r="F299" i="5"/>
  <c r="E299" i="5"/>
  <c r="D299" i="5"/>
  <c r="C299" i="5"/>
  <c r="B299" i="5"/>
  <c r="I298" i="5"/>
  <c r="H298" i="5"/>
  <c r="G298" i="5"/>
  <c r="F298" i="5"/>
  <c r="E298" i="5"/>
  <c r="D298" i="5"/>
  <c r="C298" i="5"/>
  <c r="B298" i="5"/>
  <c r="I297" i="5"/>
  <c r="H297" i="5"/>
  <c r="G297" i="5"/>
  <c r="F297" i="5"/>
  <c r="E297" i="5"/>
  <c r="D297" i="5"/>
  <c r="C297" i="5"/>
  <c r="B297" i="5"/>
  <c r="I296" i="5"/>
  <c r="H296" i="5"/>
  <c r="G296" i="5"/>
  <c r="F296" i="5"/>
  <c r="E296" i="5"/>
  <c r="D296" i="5"/>
  <c r="C296" i="5"/>
  <c r="B296" i="5"/>
  <c r="I295" i="5"/>
  <c r="H295" i="5"/>
  <c r="G295" i="5"/>
  <c r="F295" i="5"/>
  <c r="E295" i="5"/>
  <c r="D295" i="5"/>
  <c r="C295" i="5"/>
  <c r="B295" i="5"/>
  <c r="I294" i="5"/>
  <c r="H294" i="5"/>
  <c r="G294" i="5"/>
  <c r="F294" i="5"/>
  <c r="E294" i="5"/>
  <c r="D294" i="5"/>
  <c r="C294" i="5"/>
  <c r="B294" i="5"/>
  <c r="I293" i="5"/>
  <c r="H293" i="5"/>
  <c r="G293" i="5"/>
  <c r="F293" i="5"/>
  <c r="E293" i="5"/>
  <c r="D293" i="5"/>
  <c r="C293" i="5"/>
  <c r="B293" i="5"/>
  <c r="I292" i="5"/>
  <c r="H292" i="5"/>
  <c r="G292" i="5"/>
  <c r="F292" i="5"/>
  <c r="E292" i="5"/>
  <c r="D292" i="5"/>
  <c r="C292" i="5"/>
  <c r="B292" i="5"/>
  <c r="I291" i="5"/>
  <c r="H291" i="5"/>
  <c r="G291" i="5"/>
  <c r="F291" i="5"/>
  <c r="E291" i="5"/>
  <c r="D291" i="5"/>
  <c r="C291" i="5"/>
  <c r="B291" i="5"/>
  <c r="I290" i="5"/>
  <c r="H290" i="5"/>
  <c r="G290" i="5"/>
  <c r="F290" i="5"/>
  <c r="E290" i="5"/>
  <c r="D290" i="5"/>
  <c r="C290" i="5"/>
  <c r="B290" i="5"/>
  <c r="I289" i="5"/>
  <c r="H289" i="5"/>
  <c r="G289" i="5"/>
  <c r="F289" i="5"/>
  <c r="E289" i="5"/>
  <c r="D289" i="5"/>
  <c r="C289" i="5"/>
  <c r="B289" i="5"/>
  <c r="I288" i="5"/>
  <c r="H288" i="5"/>
  <c r="G288" i="5"/>
  <c r="F288" i="5"/>
  <c r="E288" i="5"/>
  <c r="D288" i="5"/>
  <c r="C288" i="5"/>
  <c r="B288" i="5"/>
  <c r="I287" i="5"/>
  <c r="H287" i="5"/>
  <c r="G287" i="5"/>
  <c r="F287" i="5"/>
  <c r="E287" i="5"/>
  <c r="D287" i="5"/>
  <c r="C287" i="5"/>
  <c r="B287" i="5"/>
  <c r="I286" i="5"/>
  <c r="H286" i="5"/>
  <c r="G286" i="5"/>
  <c r="F286" i="5"/>
  <c r="E286" i="5"/>
  <c r="D286" i="5"/>
  <c r="C286" i="5"/>
  <c r="B286" i="5"/>
  <c r="I285" i="5"/>
  <c r="H285" i="5"/>
  <c r="G285" i="5"/>
  <c r="F285" i="5"/>
  <c r="E285" i="5"/>
  <c r="D285" i="5"/>
  <c r="C285" i="5"/>
  <c r="B285" i="5"/>
  <c r="I284" i="5"/>
  <c r="H284" i="5"/>
  <c r="G284" i="5"/>
  <c r="F284" i="5"/>
  <c r="E284" i="5"/>
  <c r="D284" i="5"/>
  <c r="C284" i="5"/>
  <c r="B284" i="5"/>
  <c r="I283" i="5"/>
  <c r="H283" i="5"/>
  <c r="G283" i="5"/>
  <c r="F283" i="5"/>
  <c r="E283" i="5"/>
  <c r="D283" i="5"/>
  <c r="C283" i="5"/>
  <c r="B283" i="5"/>
  <c r="I282" i="5"/>
  <c r="H282" i="5"/>
  <c r="G282" i="5"/>
  <c r="F282" i="5"/>
  <c r="E282" i="5"/>
  <c r="D282" i="5"/>
  <c r="C282" i="5"/>
  <c r="B282" i="5"/>
  <c r="I281" i="5"/>
  <c r="H281" i="5"/>
  <c r="G281" i="5"/>
  <c r="F281" i="5"/>
  <c r="E281" i="5"/>
  <c r="D281" i="5"/>
  <c r="C281" i="5"/>
  <c r="B281" i="5"/>
  <c r="I280" i="5"/>
  <c r="H280" i="5"/>
  <c r="G280" i="5"/>
  <c r="F280" i="5"/>
  <c r="E280" i="5"/>
  <c r="D280" i="5"/>
  <c r="C280" i="5"/>
  <c r="B280" i="5"/>
  <c r="I279" i="5"/>
  <c r="H279" i="5"/>
  <c r="G279" i="5"/>
  <c r="F279" i="5"/>
  <c r="E279" i="5"/>
  <c r="D279" i="5"/>
  <c r="C279" i="5"/>
  <c r="B279" i="5"/>
  <c r="I278" i="5"/>
  <c r="H278" i="5"/>
  <c r="G278" i="5"/>
  <c r="F278" i="5"/>
  <c r="E278" i="5"/>
  <c r="D278" i="5"/>
  <c r="C278" i="5"/>
  <c r="B278" i="5"/>
  <c r="I277" i="5"/>
  <c r="H277" i="5"/>
  <c r="G277" i="5"/>
  <c r="F277" i="5"/>
  <c r="E277" i="5"/>
  <c r="D277" i="5"/>
  <c r="C277" i="5"/>
  <c r="B277" i="5"/>
  <c r="I276" i="5"/>
  <c r="H276" i="5"/>
  <c r="G276" i="5"/>
  <c r="F276" i="5"/>
  <c r="E276" i="5"/>
  <c r="D276" i="5"/>
  <c r="C276" i="5"/>
  <c r="B276" i="5"/>
  <c r="I275" i="5"/>
  <c r="H275" i="5"/>
  <c r="G275" i="5"/>
  <c r="F275" i="5"/>
  <c r="E275" i="5"/>
  <c r="D275" i="5"/>
  <c r="C275" i="5"/>
  <c r="B275" i="5"/>
  <c r="I274" i="5"/>
  <c r="H274" i="5"/>
  <c r="G274" i="5"/>
  <c r="F274" i="5"/>
  <c r="E274" i="5"/>
  <c r="D274" i="5"/>
  <c r="C274" i="5"/>
  <c r="B274" i="5"/>
  <c r="I273" i="5"/>
  <c r="H273" i="5"/>
  <c r="G273" i="5"/>
  <c r="F273" i="5"/>
  <c r="E273" i="5"/>
  <c r="D273" i="5"/>
  <c r="C273" i="5"/>
  <c r="B273" i="5"/>
  <c r="I272" i="5"/>
  <c r="H272" i="5"/>
  <c r="G272" i="5"/>
  <c r="F272" i="5"/>
  <c r="E272" i="5"/>
  <c r="D272" i="5"/>
  <c r="C272" i="5"/>
  <c r="B272" i="5"/>
  <c r="I271" i="5"/>
  <c r="H271" i="5"/>
  <c r="G271" i="5"/>
  <c r="F271" i="5"/>
  <c r="E271" i="5"/>
  <c r="D271" i="5"/>
  <c r="C271" i="5"/>
  <c r="B271" i="5"/>
  <c r="I270" i="5"/>
  <c r="H270" i="5"/>
  <c r="G270" i="5"/>
  <c r="F270" i="5"/>
  <c r="E270" i="5"/>
  <c r="D270" i="5"/>
  <c r="C270" i="5"/>
  <c r="B270" i="5"/>
  <c r="I269" i="5"/>
  <c r="H269" i="5"/>
  <c r="G269" i="5"/>
  <c r="F269" i="5"/>
  <c r="E269" i="5"/>
  <c r="D269" i="5"/>
  <c r="C269" i="5"/>
  <c r="B269" i="5"/>
  <c r="I268" i="5"/>
  <c r="H268" i="5"/>
  <c r="G268" i="5"/>
  <c r="F268" i="5"/>
  <c r="E268" i="5"/>
  <c r="D268" i="5"/>
  <c r="C268" i="5"/>
  <c r="B268" i="5"/>
  <c r="I267" i="5"/>
  <c r="H267" i="5"/>
  <c r="G267" i="5"/>
  <c r="F267" i="5"/>
  <c r="E267" i="5"/>
  <c r="D267" i="5"/>
  <c r="C267" i="5"/>
  <c r="B267" i="5"/>
  <c r="I266" i="5"/>
  <c r="H266" i="5"/>
  <c r="G266" i="5"/>
  <c r="F266" i="5"/>
  <c r="E266" i="5"/>
  <c r="D266" i="5"/>
  <c r="C266" i="5"/>
  <c r="B266" i="5"/>
  <c r="I265" i="5"/>
  <c r="H265" i="5"/>
  <c r="G265" i="5"/>
  <c r="F265" i="5"/>
  <c r="E265" i="5"/>
  <c r="D265" i="5"/>
  <c r="C265" i="5"/>
  <c r="B265" i="5"/>
  <c r="A265" i="5"/>
  <c r="I264" i="5"/>
  <c r="H264" i="5"/>
  <c r="G264" i="5"/>
  <c r="F264" i="5"/>
  <c r="E264" i="5"/>
  <c r="D264" i="5"/>
  <c r="C264" i="5"/>
  <c r="B264" i="5"/>
  <c r="A264" i="5"/>
  <c r="I263" i="5"/>
  <c r="G263" i="5"/>
  <c r="F263" i="5"/>
  <c r="E263" i="5"/>
  <c r="D263" i="5"/>
  <c r="C263" i="5"/>
  <c r="B263" i="5"/>
  <c r="A263" i="5"/>
  <c r="I262" i="5"/>
  <c r="H262" i="5"/>
  <c r="G262" i="5"/>
  <c r="F262" i="5"/>
  <c r="E262" i="5"/>
  <c r="D262" i="5"/>
  <c r="C262" i="5"/>
  <c r="B262" i="5"/>
  <c r="A262" i="5"/>
  <c r="I261" i="5"/>
  <c r="H261" i="5"/>
  <c r="G261" i="5"/>
  <c r="F261" i="5"/>
  <c r="E261" i="5"/>
  <c r="D261" i="5"/>
  <c r="C261" i="5"/>
  <c r="B261" i="5"/>
  <c r="A261" i="5"/>
  <c r="I260" i="5"/>
  <c r="H260" i="5"/>
  <c r="G260" i="5"/>
  <c r="F260" i="5"/>
  <c r="E260" i="5"/>
  <c r="D260" i="5"/>
  <c r="C260" i="5"/>
  <c r="B260" i="5"/>
  <c r="A260" i="5"/>
  <c r="I259" i="5"/>
  <c r="H259" i="5"/>
  <c r="G259" i="5"/>
  <c r="F259" i="5"/>
  <c r="E259" i="5"/>
  <c r="D259" i="5"/>
  <c r="C259" i="5"/>
  <c r="B259" i="5"/>
  <c r="A259" i="5"/>
  <c r="I258" i="5"/>
  <c r="H258" i="5"/>
  <c r="G258" i="5"/>
  <c r="F258" i="5"/>
  <c r="E258" i="5"/>
  <c r="D258" i="5"/>
  <c r="C258" i="5"/>
  <c r="B258" i="5"/>
  <c r="A258" i="5"/>
  <c r="I257" i="5"/>
  <c r="H257" i="5"/>
  <c r="G257" i="5"/>
  <c r="F257" i="5"/>
  <c r="E257" i="5"/>
  <c r="D257" i="5"/>
  <c r="C257" i="5"/>
  <c r="B257" i="5"/>
  <c r="A257" i="5"/>
  <c r="I256" i="5"/>
  <c r="H256" i="5"/>
  <c r="G256" i="5"/>
  <c r="F256" i="5"/>
  <c r="E256" i="5"/>
  <c r="D256" i="5"/>
  <c r="C256" i="5"/>
  <c r="B256" i="5"/>
  <c r="A256" i="5"/>
  <c r="I255" i="5"/>
  <c r="H255" i="5"/>
  <c r="G255" i="5"/>
  <c r="F255" i="5"/>
  <c r="E255" i="5"/>
  <c r="D255" i="5"/>
  <c r="C255" i="5"/>
  <c r="B255" i="5"/>
  <c r="A255" i="5"/>
  <c r="I254" i="5"/>
  <c r="H254" i="5"/>
  <c r="G254" i="5"/>
  <c r="F254" i="5"/>
  <c r="E254" i="5"/>
  <c r="D254" i="5"/>
  <c r="C254" i="5"/>
  <c r="B254" i="5"/>
  <c r="A254" i="5"/>
  <c r="I253" i="5"/>
  <c r="H253" i="5"/>
  <c r="G253" i="5"/>
  <c r="F253" i="5"/>
  <c r="E253" i="5"/>
  <c r="D253" i="5"/>
  <c r="C253" i="5"/>
  <c r="B253" i="5"/>
  <c r="A253" i="5"/>
  <c r="I252" i="5"/>
  <c r="H252" i="5"/>
  <c r="G252" i="5"/>
  <c r="F252" i="5"/>
  <c r="E252" i="5"/>
  <c r="D252" i="5"/>
  <c r="C252" i="5"/>
  <c r="B252" i="5"/>
  <c r="A252" i="5"/>
  <c r="I251" i="5"/>
  <c r="H251" i="5"/>
  <c r="G251" i="5"/>
  <c r="F251" i="5"/>
  <c r="E251" i="5"/>
  <c r="D251" i="5"/>
  <c r="C251" i="5"/>
  <c r="B251" i="5"/>
  <c r="A251" i="5"/>
  <c r="I250" i="5"/>
  <c r="H250" i="5"/>
  <c r="G250" i="5"/>
  <c r="F250" i="5"/>
  <c r="E250" i="5"/>
  <c r="D250" i="5"/>
  <c r="C250" i="5"/>
  <c r="B250" i="5"/>
  <c r="A250" i="5"/>
  <c r="I249" i="5"/>
  <c r="H249" i="5"/>
  <c r="G249" i="5"/>
  <c r="F249" i="5"/>
  <c r="E249" i="5"/>
  <c r="D249" i="5"/>
  <c r="C249" i="5"/>
  <c r="B249" i="5"/>
  <c r="A249" i="5"/>
  <c r="I248" i="5"/>
  <c r="H248" i="5"/>
  <c r="G248" i="5"/>
  <c r="F248" i="5"/>
  <c r="E248" i="5"/>
  <c r="D248" i="5"/>
  <c r="C248" i="5"/>
  <c r="B248" i="5"/>
  <c r="A248" i="5"/>
  <c r="I247" i="5"/>
  <c r="H247" i="5"/>
  <c r="G247" i="5"/>
  <c r="F247" i="5"/>
  <c r="E247" i="5"/>
  <c r="D247" i="5"/>
  <c r="C247" i="5"/>
  <c r="B247" i="5"/>
  <c r="A247" i="5"/>
  <c r="I246" i="5"/>
  <c r="H246" i="5"/>
  <c r="G246" i="5"/>
  <c r="F246" i="5"/>
  <c r="E246" i="5"/>
  <c r="D246" i="5"/>
  <c r="C246" i="5"/>
  <c r="B246" i="5"/>
  <c r="A246" i="5"/>
  <c r="I245" i="5"/>
  <c r="H245" i="5"/>
  <c r="G245" i="5"/>
  <c r="F245" i="5"/>
  <c r="E245" i="5"/>
  <c r="D245" i="5"/>
  <c r="C245" i="5"/>
  <c r="B245" i="5"/>
  <c r="A245" i="5"/>
  <c r="I244" i="5"/>
  <c r="H244" i="5"/>
  <c r="G244" i="5"/>
  <c r="F244" i="5"/>
  <c r="E244" i="5"/>
  <c r="D244" i="5"/>
  <c r="C244" i="5"/>
  <c r="B244" i="5"/>
  <c r="A244" i="5"/>
  <c r="I243" i="5"/>
  <c r="H243" i="5"/>
  <c r="G243" i="5"/>
  <c r="F243" i="5"/>
  <c r="E243" i="5"/>
  <c r="D243" i="5"/>
  <c r="C243" i="5"/>
  <c r="B243" i="5"/>
  <c r="A243" i="5"/>
  <c r="I242" i="5"/>
  <c r="H242" i="5"/>
  <c r="G242" i="5"/>
  <c r="F242" i="5"/>
  <c r="E242" i="5"/>
  <c r="D242" i="5"/>
  <c r="C242" i="5"/>
  <c r="B242" i="5"/>
  <c r="A242" i="5"/>
  <c r="I241" i="5"/>
  <c r="H241" i="5"/>
  <c r="G241" i="5"/>
  <c r="F241" i="5"/>
  <c r="E241" i="5"/>
  <c r="D241" i="5"/>
  <c r="C241" i="5"/>
  <c r="B241" i="5"/>
  <c r="A241" i="5"/>
  <c r="I240" i="5"/>
  <c r="H240" i="5"/>
  <c r="G240" i="5"/>
  <c r="F240" i="5"/>
  <c r="E240" i="5"/>
  <c r="D240" i="5"/>
  <c r="C240" i="5"/>
  <c r="B240" i="5"/>
  <c r="A240" i="5"/>
  <c r="I239" i="5"/>
  <c r="H239" i="5"/>
  <c r="G239" i="5"/>
  <c r="F239" i="5"/>
  <c r="E239" i="5"/>
  <c r="D239" i="5"/>
  <c r="C239" i="5"/>
  <c r="B239" i="5"/>
  <c r="A239" i="5"/>
  <c r="I238" i="5"/>
  <c r="H238" i="5"/>
  <c r="G238" i="5"/>
  <c r="F238" i="5"/>
  <c r="E238" i="5"/>
  <c r="D238" i="5"/>
  <c r="C238" i="5"/>
  <c r="B238" i="5"/>
  <c r="A238" i="5"/>
  <c r="I237" i="5"/>
  <c r="H237" i="5"/>
  <c r="G237" i="5"/>
  <c r="F237" i="5"/>
  <c r="E237" i="5"/>
  <c r="D237" i="5"/>
  <c r="C237" i="5"/>
  <c r="B237" i="5"/>
  <c r="A237" i="5"/>
  <c r="I236" i="5"/>
  <c r="H236" i="5"/>
  <c r="G236" i="5"/>
  <c r="F236" i="5"/>
  <c r="E236" i="5"/>
  <c r="D236" i="5"/>
  <c r="C236" i="5"/>
  <c r="B236" i="5"/>
  <c r="A236" i="5"/>
  <c r="I235" i="5"/>
  <c r="H235" i="5"/>
  <c r="G235" i="5"/>
  <c r="F235" i="5"/>
  <c r="E235" i="5"/>
  <c r="D235" i="5"/>
  <c r="C235" i="5"/>
  <c r="B235" i="5"/>
  <c r="A235" i="5"/>
  <c r="I234" i="5"/>
  <c r="H234" i="5"/>
  <c r="G234" i="5"/>
  <c r="F234" i="5"/>
  <c r="E234" i="5"/>
  <c r="D234" i="5"/>
  <c r="C234" i="5"/>
  <c r="B234" i="5"/>
  <c r="A234" i="5"/>
  <c r="I233" i="5"/>
  <c r="H233" i="5"/>
  <c r="G233" i="5"/>
  <c r="F233" i="5"/>
  <c r="E233" i="5"/>
  <c r="D233" i="5"/>
  <c r="C233" i="5"/>
  <c r="B233" i="5"/>
  <c r="A233" i="5"/>
  <c r="I232" i="5"/>
  <c r="H232" i="5"/>
  <c r="G232" i="5"/>
  <c r="F232" i="5"/>
  <c r="E232" i="5"/>
  <c r="D232" i="5"/>
  <c r="C232" i="5"/>
  <c r="B232" i="5"/>
  <c r="A232" i="5"/>
  <c r="I231" i="5"/>
  <c r="H231" i="5"/>
  <c r="G231" i="5"/>
  <c r="F231" i="5"/>
  <c r="E231" i="5"/>
  <c r="D231" i="5"/>
  <c r="C231" i="5"/>
  <c r="B231" i="5"/>
  <c r="A231" i="5"/>
  <c r="I230" i="5"/>
  <c r="H230" i="5"/>
  <c r="G230" i="5"/>
  <c r="F230" i="5"/>
  <c r="E230" i="5"/>
  <c r="D230" i="5"/>
  <c r="C230" i="5"/>
  <c r="B230" i="5"/>
  <c r="A230" i="5"/>
  <c r="I229" i="5"/>
  <c r="H229" i="5"/>
  <c r="G229" i="5"/>
  <c r="F229" i="5"/>
  <c r="E229" i="5"/>
  <c r="D229" i="5"/>
  <c r="C229" i="5"/>
  <c r="B229" i="5"/>
  <c r="A229" i="5"/>
  <c r="I228" i="5"/>
  <c r="H228" i="5"/>
  <c r="G228" i="5"/>
  <c r="F228" i="5"/>
  <c r="E228" i="5"/>
  <c r="D228" i="5"/>
  <c r="C228" i="5"/>
  <c r="B228" i="5"/>
  <c r="A228" i="5"/>
  <c r="I227" i="5"/>
  <c r="H227" i="5"/>
  <c r="G227" i="5"/>
  <c r="F227" i="5"/>
  <c r="E227" i="5"/>
  <c r="D227" i="5"/>
  <c r="C227" i="5"/>
  <c r="B227" i="5"/>
  <c r="A227" i="5"/>
  <c r="I226" i="5"/>
  <c r="H226" i="5"/>
  <c r="G226" i="5"/>
  <c r="F226" i="5"/>
  <c r="E226" i="5"/>
  <c r="D226" i="5"/>
  <c r="C226" i="5"/>
  <c r="B226" i="5"/>
  <c r="A226" i="5"/>
  <c r="I225" i="5"/>
  <c r="H225" i="5"/>
  <c r="G225" i="5"/>
  <c r="F225" i="5"/>
  <c r="E225" i="5"/>
  <c r="D225" i="5"/>
  <c r="C225" i="5"/>
  <c r="B225" i="5"/>
  <c r="A225" i="5"/>
  <c r="I224" i="5"/>
  <c r="H224" i="5"/>
  <c r="G224" i="5"/>
  <c r="F224" i="5"/>
  <c r="E224" i="5"/>
  <c r="D224" i="5"/>
  <c r="C224" i="5"/>
  <c r="B224" i="5"/>
  <c r="A224" i="5"/>
  <c r="I223" i="5"/>
  <c r="H223" i="5"/>
  <c r="G223" i="5"/>
  <c r="F223" i="5"/>
  <c r="E223" i="5"/>
  <c r="D223" i="5"/>
  <c r="C223" i="5"/>
  <c r="B223" i="5"/>
  <c r="A223" i="5"/>
  <c r="I222" i="5"/>
  <c r="H222" i="5"/>
  <c r="G222" i="5"/>
  <c r="F222" i="5"/>
  <c r="E222" i="5"/>
  <c r="D222" i="5"/>
  <c r="C222" i="5"/>
  <c r="B222" i="5"/>
  <c r="A222" i="5"/>
  <c r="I221" i="5"/>
  <c r="H221" i="5"/>
  <c r="G221" i="5"/>
  <c r="F221" i="5"/>
  <c r="E221" i="5"/>
  <c r="D221" i="5"/>
  <c r="C221" i="5"/>
  <c r="B221" i="5"/>
  <c r="A221" i="5"/>
  <c r="I220" i="5"/>
  <c r="H220" i="5"/>
  <c r="G220" i="5"/>
  <c r="F220" i="5"/>
  <c r="E220" i="5"/>
  <c r="D220" i="5"/>
  <c r="C220" i="5"/>
  <c r="B220" i="5"/>
  <c r="A220" i="5"/>
  <c r="I219" i="5"/>
  <c r="H219" i="5"/>
  <c r="G219" i="5"/>
  <c r="F219" i="5"/>
  <c r="E219" i="5"/>
  <c r="D219" i="5"/>
  <c r="C219" i="5"/>
  <c r="B219" i="5"/>
  <c r="A219" i="5"/>
  <c r="I218" i="5"/>
  <c r="H218" i="5"/>
  <c r="G218" i="5"/>
  <c r="F218" i="5"/>
  <c r="E218" i="5"/>
  <c r="D218" i="5"/>
  <c r="C218" i="5"/>
  <c r="B218" i="5"/>
  <c r="A218" i="5"/>
  <c r="I217" i="5"/>
  <c r="H217" i="5"/>
  <c r="G217" i="5"/>
  <c r="F217" i="5"/>
  <c r="E217" i="5"/>
  <c r="D217" i="5"/>
  <c r="C217" i="5"/>
  <c r="B217" i="5"/>
  <c r="A217" i="5"/>
  <c r="I216" i="5"/>
  <c r="H216" i="5"/>
  <c r="G216" i="5"/>
  <c r="F216" i="5"/>
  <c r="E216" i="5"/>
  <c r="D216" i="5"/>
  <c r="C216" i="5"/>
  <c r="B216" i="5"/>
  <c r="A216" i="5"/>
  <c r="I215" i="5"/>
  <c r="H215" i="5"/>
  <c r="G215" i="5"/>
  <c r="F215" i="5"/>
  <c r="E215" i="5"/>
  <c r="D215" i="5"/>
  <c r="C215" i="5"/>
  <c r="B215" i="5"/>
  <c r="A215" i="5"/>
  <c r="I214" i="5"/>
  <c r="H214" i="5"/>
  <c r="G214" i="5"/>
  <c r="F214" i="5"/>
  <c r="E214" i="5"/>
  <c r="D214" i="5"/>
  <c r="C214" i="5"/>
  <c r="B214" i="5"/>
  <c r="A214" i="5"/>
  <c r="I213" i="5"/>
  <c r="H213" i="5"/>
  <c r="G213" i="5"/>
  <c r="F213" i="5"/>
  <c r="E213" i="5"/>
  <c r="D213" i="5"/>
  <c r="C213" i="5"/>
  <c r="B213" i="5"/>
  <c r="A213" i="5"/>
  <c r="I212" i="5"/>
  <c r="H212" i="5"/>
  <c r="G212" i="5"/>
  <c r="F212" i="5"/>
  <c r="E212" i="5"/>
  <c r="D212" i="5"/>
  <c r="C212" i="5"/>
  <c r="B212" i="5"/>
  <c r="A212" i="5"/>
  <c r="I211" i="5"/>
  <c r="H211" i="5"/>
  <c r="G211" i="5"/>
  <c r="F211" i="5"/>
  <c r="E211" i="5"/>
  <c r="D211" i="5"/>
  <c r="C211" i="5"/>
  <c r="B211" i="5"/>
  <c r="A211" i="5"/>
  <c r="I210" i="5"/>
  <c r="H210" i="5"/>
  <c r="G210" i="5"/>
  <c r="F210" i="5"/>
  <c r="E210" i="5"/>
  <c r="D210" i="5"/>
  <c r="C210" i="5"/>
  <c r="B210" i="5"/>
  <c r="A210" i="5"/>
  <c r="I209" i="5"/>
  <c r="H209" i="5"/>
  <c r="G209" i="5"/>
  <c r="F209" i="5"/>
  <c r="E209" i="5"/>
  <c r="D209" i="5"/>
  <c r="C209" i="5"/>
  <c r="B209" i="5"/>
  <c r="A209" i="5"/>
  <c r="I208" i="5"/>
  <c r="H208" i="5"/>
  <c r="G208" i="5"/>
  <c r="F208" i="5"/>
  <c r="E208" i="5"/>
  <c r="D208" i="5"/>
  <c r="C208" i="5"/>
  <c r="B208" i="5"/>
  <c r="A208" i="5"/>
  <c r="I207" i="5"/>
  <c r="H207" i="5"/>
  <c r="G207" i="5"/>
  <c r="F207" i="5"/>
  <c r="E207" i="5"/>
  <c r="D207" i="5"/>
  <c r="C207" i="5"/>
  <c r="B207" i="5"/>
  <c r="A207" i="5"/>
  <c r="I206" i="5"/>
  <c r="H206" i="5"/>
  <c r="G206" i="5"/>
  <c r="F206" i="5"/>
  <c r="E206" i="5"/>
  <c r="D206" i="5"/>
  <c r="C206" i="5"/>
  <c r="B206" i="5"/>
  <c r="A206" i="5"/>
  <c r="I205" i="5"/>
  <c r="H205" i="5"/>
  <c r="G205" i="5"/>
  <c r="F205" i="5"/>
  <c r="E205" i="5"/>
  <c r="D205" i="5"/>
  <c r="C205" i="5"/>
  <c r="B205" i="5"/>
  <c r="A205" i="5"/>
  <c r="I204" i="5"/>
  <c r="H204" i="5"/>
  <c r="G204" i="5"/>
  <c r="F204" i="5"/>
  <c r="E204" i="5"/>
  <c r="D204" i="5"/>
  <c r="C204" i="5"/>
  <c r="B204" i="5"/>
  <c r="A204" i="5"/>
  <c r="I203" i="5"/>
  <c r="H203" i="5"/>
  <c r="G203" i="5"/>
  <c r="F203" i="5"/>
  <c r="E203" i="5"/>
  <c r="D203" i="5"/>
  <c r="C203" i="5"/>
  <c r="B203" i="5"/>
  <c r="A203" i="5"/>
  <c r="I202" i="5"/>
  <c r="H202" i="5"/>
  <c r="G202" i="5"/>
  <c r="F202" i="5"/>
  <c r="E202" i="5"/>
  <c r="D202" i="5"/>
  <c r="C202" i="5"/>
  <c r="B202" i="5"/>
  <c r="A202" i="5"/>
  <c r="I201" i="5"/>
  <c r="H201" i="5"/>
  <c r="G201" i="5"/>
  <c r="F201" i="5"/>
  <c r="E201" i="5"/>
  <c r="D201" i="5"/>
  <c r="C201" i="5"/>
  <c r="B201" i="5"/>
  <c r="A201" i="5"/>
  <c r="I200" i="5"/>
  <c r="H200" i="5"/>
  <c r="G200" i="5"/>
  <c r="F200" i="5"/>
  <c r="E200" i="5"/>
  <c r="D200" i="5"/>
  <c r="C200" i="5"/>
  <c r="B200" i="5"/>
  <c r="A200" i="5"/>
  <c r="I199" i="5"/>
  <c r="H199" i="5"/>
  <c r="G199" i="5"/>
  <c r="F199" i="5"/>
  <c r="E199" i="5"/>
  <c r="D199" i="5"/>
  <c r="C199" i="5"/>
  <c r="B199" i="5"/>
  <c r="A199" i="5"/>
  <c r="I198" i="5"/>
  <c r="H198" i="5"/>
  <c r="G198" i="5"/>
  <c r="F198" i="5"/>
  <c r="E198" i="5"/>
  <c r="D198" i="5"/>
  <c r="C198" i="5"/>
  <c r="B198" i="5"/>
  <c r="A198" i="5"/>
  <c r="I197" i="5"/>
  <c r="H197" i="5"/>
  <c r="G197" i="5"/>
  <c r="F197" i="5"/>
  <c r="E197" i="5"/>
  <c r="D197" i="5"/>
  <c r="C197" i="5"/>
  <c r="B197" i="5"/>
  <c r="A197" i="5"/>
  <c r="I196" i="5"/>
  <c r="H196" i="5"/>
  <c r="G196" i="5"/>
  <c r="F196" i="5"/>
  <c r="E196" i="5"/>
  <c r="D196" i="5"/>
  <c r="C196" i="5"/>
  <c r="B196" i="5"/>
  <c r="A196" i="5"/>
  <c r="I195" i="5"/>
  <c r="H195" i="5"/>
  <c r="G195" i="5"/>
  <c r="F195" i="5"/>
  <c r="E195" i="5"/>
  <c r="D195" i="5"/>
  <c r="C195" i="5"/>
  <c r="B195" i="5"/>
  <c r="A195" i="5"/>
  <c r="I194" i="5"/>
  <c r="H194" i="5"/>
  <c r="G194" i="5"/>
  <c r="F194" i="5"/>
  <c r="E194" i="5"/>
  <c r="D194" i="5"/>
  <c r="C194" i="5"/>
  <c r="B194" i="5"/>
  <c r="A194" i="5"/>
  <c r="I193" i="5"/>
  <c r="H193" i="5"/>
  <c r="G193" i="5"/>
  <c r="F193" i="5"/>
  <c r="E193" i="5"/>
  <c r="D193" i="5"/>
  <c r="C193" i="5"/>
  <c r="B193" i="5"/>
  <c r="A193" i="5"/>
  <c r="I192" i="5"/>
  <c r="H192" i="5"/>
  <c r="G192" i="5"/>
  <c r="F192" i="5"/>
  <c r="E192" i="5"/>
  <c r="D192" i="5"/>
  <c r="C192" i="5"/>
  <c r="B192" i="5"/>
  <c r="A192" i="5"/>
  <c r="I191" i="5"/>
  <c r="H191" i="5"/>
  <c r="G191" i="5"/>
  <c r="F191" i="5"/>
  <c r="E191" i="5"/>
  <c r="D191" i="5"/>
  <c r="C191" i="5"/>
  <c r="B191" i="5"/>
  <c r="A191" i="5"/>
  <c r="I190" i="5"/>
  <c r="H190" i="5"/>
  <c r="G190" i="5"/>
  <c r="F190" i="5"/>
  <c r="E190" i="5"/>
  <c r="D190" i="5"/>
  <c r="C190" i="5"/>
  <c r="B190" i="5"/>
  <c r="A190" i="5"/>
  <c r="I189" i="5"/>
  <c r="H189" i="5"/>
  <c r="G189" i="5"/>
  <c r="F189" i="5"/>
  <c r="E189" i="5"/>
  <c r="D189" i="5"/>
  <c r="C189" i="5"/>
  <c r="B189" i="5"/>
  <c r="A189" i="5"/>
  <c r="I188" i="5"/>
  <c r="H188" i="5"/>
  <c r="G188" i="5"/>
  <c r="F188" i="5"/>
  <c r="E188" i="5"/>
  <c r="D188" i="5"/>
  <c r="C188" i="5"/>
  <c r="B188" i="5"/>
  <c r="A188" i="5"/>
  <c r="I187" i="5"/>
  <c r="H187" i="5"/>
  <c r="G187" i="5"/>
  <c r="F187" i="5"/>
  <c r="E187" i="5"/>
  <c r="D187" i="5"/>
  <c r="C187" i="5"/>
  <c r="B187" i="5"/>
  <c r="A187" i="5"/>
  <c r="I186" i="5"/>
  <c r="H186" i="5"/>
  <c r="G186" i="5"/>
  <c r="F186" i="5"/>
  <c r="E186" i="5"/>
  <c r="D186" i="5"/>
  <c r="C186" i="5"/>
  <c r="B186" i="5"/>
  <c r="A186" i="5"/>
  <c r="I185" i="5"/>
  <c r="H185" i="5"/>
  <c r="G185" i="5"/>
  <c r="F185" i="5"/>
  <c r="E185" i="5"/>
  <c r="D185" i="5"/>
  <c r="C185" i="5"/>
  <c r="B185" i="5"/>
  <c r="A185" i="5"/>
  <c r="I184" i="5"/>
  <c r="H184" i="5"/>
  <c r="G184" i="5"/>
  <c r="F184" i="5"/>
  <c r="E184" i="5"/>
  <c r="D184" i="5"/>
  <c r="C184" i="5"/>
  <c r="B184" i="5"/>
  <c r="A184" i="5"/>
  <c r="I183" i="5"/>
  <c r="H183" i="5"/>
  <c r="G183" i="5"/>
  <c r="F183" i="5"/>
  <c r="E183" i="5"/>
  <c r="D183" i="5"/>
  <c r="C183" i="5"/>
  <c r="B183" i="5"/>
  <c r="A183" i="5"/>
  <c r="I182" i="5"/>
  <c r="H182" i="5"/>
  <c r="G182" i="5"/>
  <c r="F182" i="5"/>
  <c r="E182" i="5"/>
  <c r="D182" i="5"/>
  <c r="C182" i="5"/>
  <c r="B182" i="5"/>
  <c r="A182" i="5"/>
  <c r="I181" i="5"/>
  <c r="H181" i="5"/>
  <c r="G181" i="5"/>
  <c r="F181" i="5"/>
  <c r="E181" i="5"/>
  <c r="D181" i="5"/>
  <c r="C181" i="5"/>
  <c r="B181" i="5"/>
  <c r="A181" i="5"/>
  <c r="I180" i="5"/>
  <c r="H180" i="5"/>
  <c r="G180" i="5"/>
  <c r="F180" i="5"/>
  <c r="E180" i="5"/>
  <c r="D180" i="5"/>
  <c r="C180" i="5"/>
  <c r="B180" i="5"/>
  <c r="A180" i="5"/>
  <c r="I179" i="5"/>
  <c r="H179" i="5"/>
  <c r="G179" i="5"/>
  <c r="F179" i="5"/>
  <c r="E179" i="5"/>
  <c r="D179" i="5"/>
  <c r="C179" i="5"/>
  <c r="B179" i="5"/>
  <c r="A179" i="5"/>
  <c r="I178" i="5"/>
  <c r="H178" i="5"/>
  <c r="G178" i="5"/>
  <c r="F178" i="5"/>
  <c r="E178" i="5"/>
  <c r="D178" i="5"/>
  <c r="C178" i="5"/>
  <c r="B178" i="5"/>
  <c r="A178" i="5"/>
  <c r="I177" i="5"/>
  <c r="H177" i="5"/>
  <c r="G177" i="5"/>
  <c r="F177" i="5"/>
  <c r="E177" i="5"/>
  <c r="D177" i="5"/>
  <c r="C177" i="5"/>
  <c r="B177" i="5"/>
  <c r="A177" i="5"/>
  <c r="I176" i="5"/>
  <c r="H176" i="5"/>
  <c r="G176" i="5"/>
  <c r="F176" i="5"/>
  <c r="E176" i="5"/>
  <c r="D176" i="5"/>
  <c r="C176" i="5"/>
  <c r="B176" i="5"/>
  <c r="A176" i="5"/>
  <c r="I175" i="5"/>
  <c r="H175" i="5"/>
  <c r="G175" i="5"/>
  <c r="F175" i="5"/>
  <c r="E175" i="5"/>
  <c r="D175" i="5"/>
  <c r="C175" i="5"/>
  <c r="B175" i="5"/>
  <c r="A175" i="5"/>
  <c r="I174" i="5"/>
  <c r="H174" i="5"/>
  <c r="G174" i="5"/>
  <c r="F174" i="5"/>
  <c r="E174" i="5"/>
  <c r="D174" i="5"/>
  <c r="C174" i="5"/>
  <c r="B174" i="5"/>
  <c r="A174" i="5"/>
  <c r="I173" i="5"/>
  <c r="H173" i="5"/>
  <c r="G173" i="5"/>
  <c r="F173" i="5"/>
  <c r="E173" i="5"/>
  <c r="D173" i="5"/>
  <c r="C173" i="5"/>
  <c r="B173" i="5"/>
  <c r="A173" i="5"/>
  <c r="I172" i="5"/>
  <c r="H172" i="5"/>
  <c r="G172" i="5"/>
  <c r="F172" i="5"/>
  <c r="E172" i="5"/>
  <c r="D172" i="5"/>
  <c r="C172" i="5"/>
  <c r="B172" i="5"/>
  <c r="A172" i="5"/>
  <c r="I171" i="5"/>
  <c r="H171" i="5"/>
  <c r="G171" i="5"/>
  <c r="F171" i="5"/>
  <c r="E171" i="5"/>
  <c r="D171" i="5"/>
  <c r="C171" i="5"/>
  <c r="B171" i="5"/>
  <c r="A171" i="5"/>
  <c r="I170" i="5"/>
  <c r="H170" i="5"/>
  <c r="G170" i="5"/>
  <c r="F170" i="5"/>
  <c r="E170" i="5"/>
  <c r="D170" i="5"/>
  <c r="C170" i="5"/>
  <c r="B170" i="5"/>
  <c r="A170" i="5"/>
  <c r="I169" i="5"/>
  <c r="H169" i="5"/>
  <c r="G169" i="5"/>
  <c r="F169" i="5"/>
  <c r="E169" i="5"/>
  <c r="D169" i="5"/>
  <c r="C169" i="5"/>
  <c r="B169" i="5"/>
  <c r="A169" i="5"/>
  <c r="I168" i="5"/>
  <c r="H168" i="5"/>
  <c r="G168" i="5"/>
  <c r="F168" i="5"/>
  <c r="E168" i="5"/>
  <c r="D168" i="5"/>
  <c r="C168" i="5"/>
  <c r="B168" i="5"/>
  <c r="A168" i="5"/>
  <c r="I167" i="5"/>
  <c r="H167" i="5"/>
  <c r="G167" i="5"/>
  <c r="F167" i="5"/>
  <c r="E167" i="5"/>
  <c r="D167" i="5"/>
  <c r="C167" i="5"/>
  <c r="B167" i="5"/>
  <c r="A167" i="5"/>
  <c r="I166" i="5"/>
  <c r="H166" i="5"/>
  <c r="G166" i="5"/>
  <c r="F166" i="5"/>
  <c r="E166" i="5"/>
  <c r="D166" i="5"/>
  <c r="C166" i="5"/>
  <c r="B166" i="5"/>
  <c r="A166" i="5"/>
  <c r="I165" i="5"/>
  <c r="H165" i="5"/>
  <c r="G165" i="5"/>
  <c r="F165" i="5"/>
  <c r="E165" i="5"/>
  <c r="D165" i="5"/>
  <c r="C165" i="5"/>
  <c r="B165" i="5"/>
  <c r="A165" i="5"/>
  <c r="I164" i="5"/>
  <c r="H164" i="5"/>
  <c r="G164" i="5"/>
  <c r="F164" i="5"/>
  <c r="E164" i="5"/>
  <c r="D164" i="5"/>
  <c r="C164" i="5"/>
  <c r="B164" i="5"/>
  <c r="A164" i="5"/>
  <c r="I163" i="5"/>
  <c r="H163" i="5"/>
  <c r="G163" i="5"/>
  <c r="F163" i="5"/>
  <c r="E163" i="5"/>
  <c r="D163" i="5"/>
  <c r="C163" i="5"/>
  <c r="B163" i="5"/>
  <c r="A163" i="5"/>
  <c r="I162" i="5"/>
  <c r="H162" i="5"/>
  <c r="G162" i="5"/>
  <c r="F162" i="5"/>
  <c r="E162" i="5"/>
  <c r="D162" i="5"/>
  <c r="C162" i="5"/>
  <c r="B162" i="5"/>
  <c r="A162" i="5"/>
  <c r="I161" i="5"/>
  <c r="H161" i="5"/>
  <c r="G161" i="5"/>
  <c r="F161" i="5"/>
  <c r="E161" i="5"/>
  <c r="D161" i="5"/>
  <c r="C161" i="5"/>
  <c r="B161" i="5"/>
  <c r="A161" i="5"/>
  <c r="I160" i="5"/>
  <c r="H160" i="5"/>
  <c r="G160" i="5"/>
  <c r="F160" i="5"/>
  <c r="E160" i="5"/>
  <c r="D160" i="5"/>
  <c r="C160" i="5"/>
  <c r="B160" i="5"/>
  <c r="A160" i="5"/>
  <c r="I159" i="5"/>
  <c r="H159" i="5"/>
  <c r="G159" i="5"/>
  <c r="F159" i="5"/>
  <c r="E159" i="5"/>
  <c r="D159" i="5"/>
  <c r="C159" i="5"/>
  <c r="B159" i="5"/>
  <c r="A159" i="5"/>
  <c r="I158" i="5"/>
  <c r="H158" i="5"/>
  <c r="G158" i="5"/>
  <c r="F158" i="5"/>
  <c r="E158" i="5"/>
  <c r="D158" i="5"/>
  <c r="C158" i="5"/>
  <c r="B158" i="5"/>
  <c r="A158" i="5"/>
  <c r="I157" i="5"/>
  <c r="H157" i="5"/>
  <c r="G157" i="5"/>
  <c r="F157" i="5"/>
  <c r="E157" i="5"/>
  <c r="D157" i="5"/>
  <c r="C157" i="5"/>
  <c r="B157" i="5"/>
  <c r="A157" i="5"/>
  <c r="I156" i="5"/>
  <c r="H156" i="5"/>
  <c r="G156" i="5"/>
  <c r="F156" i="5"/>
  <c r="E156" i="5"/>
  <c r="D156" i="5"/>
  <c r="C156" i="5"/>
  <c r="B156" i="5"/>
  <c r="A156" i="5"/>
  <c r="I155" i="5"/>
  <c r="H155" i="5"/>
  <c r="G155" i="5"/>
  <c r="F155" i="5"/>
  <c r="E155" i="5"/>
  <c r="D155" i="5"/>
  <c r="C155" i="5"/>
  <c r="B155" i="5"/>
  <c r="A155" i="5"/>
  <c r="I154" i="5"/>
  <c r="H154" i="5"/>
  <c r="G154" i="5"/>
  <c r="F154" i="5"/>
  <c r="E154" i="5"/>
  <c r="D154" i="5"/>
  <c r="C154" i="5"/>
  <c r="B154" i="5"/>
  <c r="A154" i="5"/>
  <c r="I153" i="5"/>
  <c r="H153" i="5"/>
  <c r="G153" i="5"/>
  <c r="F153" i="5"/>
  <c r="E153" i="5"/>
  <c r="D153" i="5"/>
  <c r="C153" i="5"/>
  <c r="B153" i="5"/>
  <c r="A153" i="5"/>
  <c r="I152" i="5"/>
  <c r="H152" i="5"/>
  <c r="G152" i="5"/>
  <c r="F152" i="5"/>
  <c r="E152" i="5"/>
  <c r="D152" i="5"/>
  <c r="C152" i="5"/>
  <c r="B152" i="5"/>
  <c r="A152" i="5"/>
  <c r="I151" i="5"/>
  <c r="H151" i="5"/>
  <c r="G151" i="5"/>
  <c r="F151" i="5"/>
  <c r="E151" i="5"/>
  <c r="D151" i="5"/>
  <c r="C151" i="5"/>
  <c r="B151" i="5"/>
  <c r="A151" i="5"/>
  <c r="I150" i="5"/>
  <c r="H150" i="5"/>
  <c r="G150" i="5"/>
  <c r="F150" i="5"/>
  <c r="E150" i="5"/>
  <c r="D150" i="5"/>
  <c r="C150" i="5"/>
  <c r="B150" i="5"/>
  <c r="A150" i="5"/>
  <c r="I149" i="5"/>
  <c r="H149" i="5"/>
  <c r="G149" i="5"/>
  <c r="F149" i="5"/>
  <c r="E149" i="5"/>
  <c r="D149" i="5"/>
  <c r="C149" i="5"/>
  <c r="B149" i="5"/>
  <c r="A149" i="5"/>
  <c r="I148" i="5"/>
  <c r="H148" i="5"/>
  <c r="G148" i="5"/>
  <c r="F148" i="5"/>
  <c r="E148" i="5"/>
  <c r="D148" i="5"/>
  <c r="C148" i="5"/>
  <c r="B148" i="5"/>
  <c r="A148" i="5"/>
  <c r="I147" i="5"/>
  <c r="H147" i="5"/>
  <c r="G147" i="5"/>
  <c r="F147" i="5"/>
  <c r="E147" i="5"/>
  <c r="D147" i="5"/>
  <c r="C147" i="5"/>
  <c r="B147" i="5"/>
  <c r="A147" i="5"/>
  <c r="I146" i="5"/>
  <c r="H146" i="5"/>
  <c r="G146" i="5"/>
  <c r="F146" i="5"/>
  <c r="E146" i="5"/>
  <c r="D146" i="5"/>
  <c r="C146" i="5"/>
  <c r="B146" i="5"/>
  <c r="A146" i="5"/>
  <c r="I145" i="5"/>
  <c r="H145" i="5"/>
  <c r="G145" i="5"/>
  <c r="F145" i="5"/>
  <c r="E145" i="5"/>
  <c r="D145" i="5"/>
  <c r="C145" i="5"/>
  <c r="B145" i="5"/>
  <c r="A145" i="5"/>
  <c r="I144" i="5"/>
  <c r="H144" i="5"/>
  <c r="G144" i="5"/>
  <c r="F144" i="5"/>
  <c r="E144" i="5"/>
  <c r="D144" i="5"/>
  <c r="C144" i="5"/>
  <c r="B144" i="5"/>
  <c r="A144" i="5"/>
  <c r="I143" i="5"/>
  <c r="H143" i="5"/>
  <c r="G143" i="5"/>
  <c r="F143" i="5"/>
  <c r="E143" i="5"/>
  <c r="D143" i="5"/>
  <c r="C143" i="5"/>
  <c r="B143" i="5"/>
  <c r="A143" i="5"/>
  <c r="I142" i="5"/>
  <c r="H142" i="5"/>
  <c r="G142" i="5"/>
  <c r="F142" i="5"/>
  <c r="E142" i="5"/>
  <c r="D142" i="5"/>
  <c r="C142" i="5"/>
  <c r="B142" i="5"/>
  <c r="A142" i="5"/>
  <c r="I141" i="5"/>
  <c r="H141" i="5"/>
  <c r="G141" i="5"/>
  <c r="F141" i="5"/>
  <c r="E141" i="5"/>
  <c r="D141" i="5"/>
  <c r="C141" i="5"/>
  <c r="B141" i="5"/>
  <c r="A141" i="5"/>
  <c r="I140" i="5"/>
  <c r="H140" i="5"/>
  <c r="G140" i="5"/>
  <c r="F140" i="5"/>
  <c r="E140" i="5"/>
  <c r="D140" i="5"/>
  <c r="C140" i="5"/>
  <c r="B140" i="5"/>
  <c r="A140" i="5"/>
  <c r="I139" i="5"/>
  <c r="H139" i="5"/>
  <c r="G139" i="5"/>
  <c r="F139" i="5"/>
  <c r="E139" i="5"/>
  <c r="D139" i="5"/>
  <c r="C139" i="5"/>
  <c r="B139" i="5"/>
  <c r="A139" i="5"/>
  <c r="I138" i="5"/>
  <c r="H138" i="5"/>
  <c r="G138" i="5"/>
  <c r="F138" i="5"/>
  <c r="E138" i="5"/>
  <c r="D138" i="5"/>
  <c r="C138" i="5"/>
  <c r="B138" i="5"/>
  <c r="A138" i="5"/>
  <c r="I137" i="5"/>
  <c r="H137" i="5"/>
  <c r="G137" i="5"/>
  <c r="F137" i="5"/>
  <c r="E137" i="5"/>
  <c r="D137" i="5"/>
  <c r="C137" i="5"/>
  <c r="B137" i="5"/>
  <c r="A137" i="5"/>
  <c r="I136" i="5"/>
  <c r="H136" i="5"/>
  <c r="G136" i="5"/>
  <c r="F136" i="5"/>
  <c r="E136" i="5"/>
  <c r="D136" i="5"/>
  <c r="C136" i="5"/>
  <c r="B136" i="5"/>
  <c r="A136" i="5"/>
  <c r="I135" i="5"/>
  <c r="H135" i="5"/>
  <c r="G135" i="5"/>
  <c r="F135" i="5"/>
  <c r="E135" i="5"/>
  <c r="D135" i="5"/>
  <c r="C135" i="5"/>
  <c r="B135" i="5"/>
  <c r="A135" i="5"/>
  <c r="I134" i="5"/>
  <c r="H134" i="5"/>
  <c r="G134" i="5"/>
  <c r="F134" i="5"/>
  <c r="E134" i="5"/>
  <c r="D134" i="5"/>
  <c r="C134" i="5"/>
  <c r="B134" i="5"/>
  <c r="A134" i="5"/>
  <c r="I133" i="5"/>
  <c r="H133" i="5"/>
  <c r="G133" i="5"/>
  <c r="F133" i="5"/>
  <c r="E133" i="5"/>
  <c r="D133" i="5"/>
  <c r="C133" i="5"/>
  <c r="B133" i="5"/>
  <c r="A133" i="5"/>
  <c r="I132" i="5"/>
  <c r="H132" i="5"/>
  <c r="G132" i="5"/>
  <c r="F132" i="5"/>
  <c r="E132" i="5"/>
  <c r="D132" i="5"/>
  <c r="C132" i="5"/>
  <c r="B132" i="5"/>
  <c r="A132" i="5"/>
  <c r="I131" i="5"/>
  <c r="H131" i="5"/>
  <c r="G131" i="5"/>
  <c r="F131" i="5"/>
  <c r="E131" i="5"/>
  <c r="D131" i="5"/>
  <c r="C131" i="5"/>
  <c r="B131" i="5"/>
  <c r="A131" i="5"/>
  <c r="I130" i="5"/>
  <c r="H130" i="5"/>
  <c r="G130" i="5"/>
  <c r="F130" i="5"/>
  <c r="E130" i="5"/>
  <c r="D130" i="5"/>
  <c r="C130" i="5"/>
  <c r="B130" i="5"/>
  <c r="A130" i="5"/>
  <c r="I129" i="5"/>
  <c r="H129" i="5"/>
  <c r="G129" i="5"/>
  <c r="F129" i="5"/>
  <c r="E129" i="5"/>
  <c r="D129" i="5"/>
  <c r="C129" i="5"/>
  <c r="B129" i="5"/>
  <c r="A129" i="5"/>
  <c r="I128" i="5"/>
  <c r="H128" i="5"/>
  <c r="G128" i="5"/>
  <c r="F128" i="5"/>
  <c r="E128" i="5"/>
  <c r="D128" i="5"/>
  <c r="C128" i="5"/>
  <c r="B128" i="5"/>
  <c r="A128" i="5"/>
  <c r="I127" i="5"/>
  <c r="H127" i="5"/>
  <c r="G127" i="5"/>
  <c r="F127" i="5"/>
  <c r="E127" i="5"/>
  <c r="D127" i="5"/>
  <c r="C127" i="5"/>
  <c r="B127" i="5"/>
  <c r="A127" i="5"/>
  <c r="I126" i="5"/>
  <c r="H126" i="5"/>
  <c r="G126" i="5"/>
  <c r="F126" i="5"/>
  <c r="E126" i="5"/>
  <c r="D126" i="5"/>
  <c r="C126" i="5"/>
  <c r="B126" i="5"/>
  <c r="A126" i="5"/>
  <c r="I125" i="5"/>
  <c r="H125" i="5"/>
  <c r="G125" i="5"/>
  <c r="F125" i="5"/>
  <c r="E125" i="5"/>
  <c r="D125" i="5"/>
  <c r="C125" i="5"/>
  <c r="B125" i="5"/>
  <c r="A125" i="5"/>
  <c r="I124" i="5"/>
  <c r="H124" i="5"/>
  <c r="G124" i="5"/>
  <c r="F124" i="5"/>
  <c r="E124" i="5"/>
  <c r="D124" i="5"/>
  <c r="C124" i="5"/>
  <c r="B124" i="5"/>
  <c r="A124" i="5"/>
  <c r="I123" i="5"/>
  <c r="H123" i="5"/>
  <c r="G123" i="5"/>
  <c r="F123" i="5"/>
  <c r="E123" i="5"/>
  <c r="D123" i="5"/>
  <c r="C123" i="5"/>
  <c r="B123" i="5"/>
  <c r="A123" i="5"/>
  <c r="I122" i="5"/>
  <c r="H122" i="5"/>
  <c r="G122" i="5"/>
  <c r="F122" i="5"/>
  <c r="E122" i="5"/>
  <c r="D122" i="5"/>
  <c r="C122" i="5"/>
  <c r="B122" i="5"/>
  <c r="A122" i="5"/>
  <c r="I121" i="5"/>
  <c r="H121" i="5"/>
  <c r="G121" i="5"/>
  <c r="F121" i="5"/>
  <c r="E121" i="5"/>
  <c r="D121" i="5"/>
  <c r="C121" i="5"/>
  <c r="B121" i="5"/>
  <c r="A121" i="5"/>
  <c r="I120" i="5"/>
  <c r="H120" i="5"/>
  <c r="G120" i="5"/>
  <c r="F120" i="5"/>
  <c r="E120" i="5"/>
  <c r="D120" i="5"/>
  <c r="C120" i="5"/>
  <c r="B120" i="5"/>
  <c r="A120" i="5"/>
  <c r="I119" i="5"/>
  <c r="H119" i="5"/>
  <c r="G119" i="5"/>
  <c r="F119" i="5"/>
  <c r="E119" i="5"/>
  <c r="D119" i="5"/>
  <c r="C119" i="5"/>
  <c r="B119" i="5"/>
  <c r="A119" i="5"/>
  <c r="I118" i="5"/>
  <c r="H118" i="5"/>
  <c r="G118" i="5"/>
  <c r="F118" i="5"/>
  <c r="E118" i="5"/>
  <c r="D118" i="5"/>
  <c r="C118" i="5"/>
  <c r="B118" i="5"/>
  <c r="A118" i="5"/>
  <c r="I117" i="5"/>
  <c r="H117" i="5"/>
  <c r="G117" i="5"/>
  <c r="F117" i="5"/>
  <c r="E117" i="5"/>
  <c r="D117" i="5"/>
  <c r="C117" i="5"/>
  <c r="B117" i="5"/>
  <c r="A117" i="5"/>
  <c r="I116" i="5"/>
  <c r="H116" i="5"/>
  <c r="G116" i="5"/>
  <c r="F116" i="5"/>
  <c r="E116" i="5"/>
  <c r="D116" i="5"/>
  <c r="C116" i="5"/>
  <c r="B116" i="5"/>
  <c r="A116" i="5"/>
  <c r="I115" i="5"/>
  <c r="H115" i="5"/>
  <c r="G115" i="5"/>
  <c r="F115" i="5"/>
  <c r="E115" i="5"/>
  <c r="D115" i="5"/>
  <c r="C115" i="5"/>
  <c r="B115" i="5"/>
  <c r="A115" i="5"/>
  <c r="I114" i="5"/>
  <c r="H114" i="5"/>
  <c r="G114" i="5"/>
  <c r="F114" i="5"/>
  <c r="E114" i="5"/>
  <c r="D114" i="5"/>
  <c r="C114" i="5"/>
  <c r="B114" i="5"/>
  <c r="A114" i="5"/>
  <c r="I113" i="5"/>
  <c r="H113" i="5"/>
  <c r="G113" i="5"/>
  <c r="F113" i="5"/>
  <c r="E113" i="5"/>
  <c r="D113" i="5"/>
  <c r="C113" i="5"/>
  <c r="B113" i="5"/>
  <c r="A113" i="5"/>
  <c r="I112" i="5"/>
  <c r="H112" i="5"/>
  <c r="G112" i="5"/>
  <c r="F112" i="5"/>
  <c r="E112" i="5"/>
  <c r="D112" i="5"/>
  <c r="C112" i="5"/>
  <c r="B112" i="5"/>
  <c r="A112" i="5"/>
  <c r="I111" i="5"/>
  <c r="H111" i="5"/>
  <c r="G111" i="5"/>
  <c r="F111" i="5"/>
  <c r="E111" i="5"/>
  <c r="D111" i="5"/>
  <c r="C111" i="5"/>
  <c r="B111" i="5"/>
  <c r="A111" i="5"/>
  <c r="I110" i="5"/>
  <c r="H110" i="5"/>
  <c r="G110" i="5"/>
  <c r="F110" i="5"/>
  <c r="E110" i="5"/>
  <c r="D110" i="5"/>
  <c r="C110" i="5"/>
  <c r="B110" i="5"/>
  <c r="A110" i="5"/>
  <c r="I109" i="5"/>
  <c r="H109" i="5"/>
  <c r="G109" i="5"/>
  <c r="F109" i="5"/>
  <c r="E109" i="5"/>
  <c r="D109" i="5"/>
  <c r="C109" i="5"/>
  <c r="B109" i="5"/>
  <c r="A109" i="5"/>
  <c r="I108" i="5"/>
  <c r="H108" i="5"/>
  <c r="G108" i="5"/>
  <c r="F108" i="5"/>
  <c r="E108" i="5"/>
  <c r="D108" i="5"/>
  <c r="C108" i="5"/>
  <c r="B108" i="5"/>
  <c r="A108" i="5"/>
  <c r="I107" i="5"/>
  <c r="H107" i="5"/>
  <c r="G107" i="5"/>
  <c r="F107" i="5"/>
  <c r="E107" i="5"/>
  <c r="D107" i="5"/>
  <c r="C107" i="5"/>
  <c r="B107" i="5"/>
  <c r="A107" i="5"/>
  <c r="I106" i="5"/>
  <c r="H106" i="5"/>
  <c r="G106" i="5"/>
  <c r="F106" i="5"/>
  <c r="E106" i="5"/>
  <c r="D106" i="5"/>
  <c r="C106" i="5"/>
  <c r="B106" i="5"/>
  <c r="A106" i="5"/>
  <c r="I105" i="5"/>
  <c r="H105" i="5"/>
  <c r="G105" i="5"/>
  <c r="F105" i="5"/>
  <c r="E105" i="5"/>
  <c r="D105" i="5"/>
  <c r="C105" i="5"/>
  <c r="B105" i="5"/>
  <c r="A105" i="5"/>
  <c r="I104" i="5"/>
  <c r="H104" i="5"/>
  <c r="G104" i="5"/>
  <c r="F104" i="5"/>
  <c r="E104" i="5"/>
  <c r="D104" i="5"/>
  <c r="C104" i="5"/>
  <c r="B104" i="5"/>
  <c r="A104" i="5"/>
  <c r="I103" i="5"/>
  <c r="H103" i="5"/>
  <c r="G103" i="5"/>
  <c r="F103" i="5"/>
  <c r="E103" i="5"/>
  <c r="D103" i="5"/>
  <c r="C103" i="5"/>
  <c r="B103" i="5"/>
  <c r="A103" i="5"/>
  <c r="I102" i="5"/>
  <c r="H102" i="5"/>
  <c r="G102" i="5"/>
  <c r="F102" i="5"/>
  <c r="E102" i="5"/>
  <c r="D102" i="5"/>
  <c r="C102" i="5"/>
  <c r="B102" i="5"/>
  <c r="A102" i="5"/>
  <c r="I101" i="5"/>
  <c r="H101" i="5"/>
  <c r="G101" i="5"/>
  <c r="F101" i="5"/>
  <c r="E101" i="5"/>
  <c r="D101" i="5"/>
  <c r="C101" i="5"/>
  <c r="B101" i="5"/>
  <c r="A101" i="5"/>
  <c r="I100" i="5"/>
  <c r="H100" i="5"/>
  <c r="G100" i="5"/>
  <c r="F100" i="5"/>
  <c r="E100" i="5"/>
  <c r="D100" i="5"/>
  <c r="C100" i="5"/>
  <c r="B100" i="5"/>
  <c r="A100" i="5"/>
  <c r="I99" i="5"/>
  <c r="H99" i="5"/>
  <c r="G99" i="5"/>
  <c r="F99" i="5"/>
  <c r="E99" i="5"/>
  <c r="D99" i="5"/>
  <c r="C99" i="5"/>
  <c r="B99" i="5"/>
  <c r="A99" i="5"/>
  <c r="I98" i="5"/>
  <c r="H98" i="5"/>
  <c r="G98" i="5"/>
  <c r="F98" i="5"/>
  <c r="E98" i="5"/>
  <c r="D98" i="5"/>
  <c r="C98" i="5"/>
  <c r="B98" i="5"/>
  <c r="A98" i="5"/>
  <c r="I97" i="5"/>
  <c r="H97" i="5"/>
  <c r="G97" i="5"/>
  <c r="F97" i="5"/>
  <c r="E97" i="5"/>
  <c r="D97" i="5"/>
  <c r="C97" i="5"/>
  <c r="B97" i="5"/>
  <c r="A97" i="5"/>
  <c r="I96" i="5"/>
  <c r="H96" i="5"/>
  <c r="G96" i="5"/>
  <c r="F96" i="5"/>
  <c r="E96" i="5"/>
  <c r="D96" i="5"/>
  <c r="C96" i="5"/>
  <c r="B96" i="5"/>
  <c r="A96" i="5"/>
  <c r="I95" i="5"/>
  <c r="H95" i="5"/>
  <c r="G95" i="5"/>
  <c r="F95" i="5"/>
  <c r="E95" i="5"/>
  <c r="D95" i="5"/>
  <c r="C95" i="5"/>
  <c r="B95" i="5"/>
  <c r="A95" i="5"/>
  <c r="I94" i="5"/>
  <c r="H94" i="5"/>
  <c r="G94" i="5"/>
  <c r="F94" i="5"/>
  <c r="E94" i="5"/>
  <c r="D94" i="5"/>
  <c r="C94" i="5"/>
  <c r="B94" i="5"/>
  <c r="A94" i="5"/>
  <c r="I93" i="5"/>
  <c r="H93" i="5"/>
  <c r="G93" i="5"/>
  <c r="F93" i="5"/>
  <c r="E93" i="5"/>
  <c r="D93" i="5"/>
  <c r="C93" i="5"/>
  <c r="B93" i="5"/>
  <c r="A93" i="5"/>
  <c r="I92" i="5"/>
  <c r="H92" i="5"/>
  <c r="G92" i="5"/>
  <c r="F92" i="5"/>
  <c r="E92" i="5"/>
  <c r="D92" i="5"/>
  <c r="C92" i="5"/>
  <c r="B92" i="5"/>
  <c r="A92" i="5"/>
  <c r="I91" i="5"/>
  <c r="H91" i="5"/>
  <c r="G91" i="5"/>
  <c r="F91" i="5"/>
  <c r="E91" i="5"/>
  <c r="D91" i="5"/>
  <c r="C91" i="5"/>
  <c r="B91" i="5"/>
  <c r="A91" i="5"/>
  <c r="I90" i="5"/>
  <c r="H90" i="5"/>
  <c r="G90" i="5"/>
  <c r="F90" i="5"/>
  <c r="E90" i="5"/>
  <c r="D90" i="5"/>
  <c r="C90" i="5"/>
  <c r="B90" i="5"/>
  <c r="A90" i="5"/>
  <c r="I89" i="5"/>
  <c r="H89" i="5"/>
  <c r="G89" i="5"/>
  <c r="F89" i="5"/>
  <c r="E89" i="5"/>
  <c r="D89" i="5"/>
  <c r="C89" i="5"/>
  <c r="B89" i="5"/>
  <c r="A89" i="5"/>
  <c r="I88" i="5"/>
  <c r="H88" i="5"/>
  <c r="G88" i="5"/>
  <c r="F88" i="5"/>
  <c r="E88" i="5"/>
  <c r="D88" i="5"/>
  <c r="C88" i="5"/>
  <c r="B88" i="5"/>
  <c r="A88" i="5"/>
  <c r="I87" i="5"/>
  <c r="H87" i="5"/>
  <c r="G87" i="5"/>
  <c r="F87" i="5"/>
  <c r="E87" i="5"/>
  <c r="D87" i="5"/>
  <c r="C87" i="5"/>
  <c r="B87" i="5"/>
  <c r="A87" i="5"/>
  <c r="I86" i="5"/>
  <c r="H86" i="5"/>
  <c r="G86" i="5"/>
  <c r="F86" i="5"/>
  <c r="E86" i="5"/>
  <c r="D86" i="5"/>
  <c r="C86" i="5"/>
  <c r="B86" i="5"/>
  <c r="A86" i="5"/>
  <c r="I85" i="5"/>
  <c r="H85" i="5"/>
  <c r="G85" i="5"/>
  <c r="F85" i="5"/>
  <c r="E85" i="5"/>
  <c r="D85" i="5"/>
  <c r="C85" i="5"/>
  <c r="B85" i="5"/>
  <c r="A85" i="5"/>
  <c r="I84" i="5"/>
  <c r="H84" i="5"/>
  <c r="G84" i="5"/>
  <c r="F84" i="5"/>
  <c r="E84" i="5"/>
  <c r="D84" i="5"/>
  <c r="C84" i="5"/>
  <c r="B84" i="5"/>
  <c r="A84" i="5"/>
  <c r="I83" i="5"/>
  <c r="H83" i="5"/>
  <c r="G83" i="5"/>
  <c r="F83" i="5"/>
  <c r="E83" i="5"/>
  <c r="D83" i="5"/>
  <c r="C83" i="5"/>
  <c r="B83" i="5"/>
  <c r="A83" i="5"/>
  <c r="I82" i="5"/>
  <c r="H82" i="5"/>
  <c r="G82" i="5"/>
  <c r="F82" i="5"/>
  <c r="E82" i="5"/>
  <c r="D82" i="5"/>
  <c r="C82" i="5"/>
  <c r="B82" i="5"/>
  <c r="A82" i="5"/>
  <c r="I81" i="5"/>
  <c r="H81" i="5"/>
  <c r="G81" i="5"/>
  <c r="F81" i="5"/>
  <c r="E81" i="5"/>
  <c r="D81" i="5"/>
  <c r="C81" i="5"/>
  <c r="B81" i="5"/>
  <c r="A81" i="5"/>
  <c r="I80" i="5"/>
  <c r="H80" i="5"/>
  <c r="G80" i="5"/>
  <c r="F80" i="5"/>
  <c r="E80" i="5"/>
  <c r="D80" i="5"/>
  <c r="C80" i="5"/>
  <c r="B80" i="5"/>
  <c r="A80" i="5"/>
  <c r="I79" i="5"/>
  <c r="H79" i="5"/>
  <c r="G79" i="5"/>
  <c r="F79" i="5"/>
  <c r="E79" i="5"/>
  <c r="D79" i="5"/>
  <c r="C79" i="5"/>
  <c r="B79" i="5"/>
  <c r="A79" i="5"/>
  <c r="I78" i="5"/>
  <c r="H78" i="5"/>
  <c r="G78" i="5"/>
  <c r="F78" i="5"/>
  <c r="E78" i="5"/>
  <c r="D78" i="5"/>
  <c r="C78" i="5"/>
  <c r="B78" i="5"/>
  <c r="A78" i="5"/>
  <c r="I77" i="5"/>
  <c r="H77" i="5"/>
  <c r="G77" i="5"/>
  <c r="F77" i="5"/>
  <c r="E77" i="5"/>
  <c r="D77" i="5"/>
  <c r="C77" i="5"/>
  <c r="B77" i="5"/>
  <c r="A77" i="5"/>
  <c r="I76" i="5"/>
  <c r="H76" i="5"/>
  <c r="G76" i="5"/>
  <c r="F76" i="5"/>
  <c r="E76" i="5"/>
  <c r="D76" i="5"/>
  <c r="C76" i="5"/>
  <c r="B76" i="5"/>
  <c r="A76" i="5"/>
  <c r="I75" i="5"/>
  <c r="H75" i="5"/>
  <c r="G75" i="5"/>
  <c r="F75" i="5"/>
  <c r="E75" i="5"/>
  <c r="D75" i="5"/>
  <c r="C75" i="5"/>
  <c r="B75" i="5"/>
  <c r="A75" i="5"/>
  <c r="I74" i="5"/>
  <c r="H74" i="5"/>
  <c r="G74" i="5"/>
  <c r="F74" i="5"/>
  <c r="E74" i="5"/>
  <c r="D74" i="5"/>
  <c r="C74" i="5"/>
  <c r="B74" i="5"/>
  <c r="A74" i="5"/>
  <c r="I73" i="5"/>
  <c r="H73" i="5"/>
  <c r="G73" i="5"/>
  <c r="F73" i="5"/>
  <c r="E73" i="5"/>
  <c r="D73" i="5"/>
  <c r="C73" i="5"/>
  <c r="B73" i="5"/>
  <c r="A73" i="5"/>
  <c r="I72" i="5"/>
  <c r="H72" i="5"/>
  <c r="G72" i="5"/>
  <c r="F72" i="5"/>
  <c r="E72" i="5"/>
  <c r="D72" i="5"/>
  <c r="C72" i="5"/>
  <c r="B72" i="5"/>
  <c r="A72" i="5"/>
  <c r="I71" i="5"/>
  <c r="H71" i="5"/>
  <c r="G71" i="5"/>
  <c r="F71" i="5"/>
  <c r="E71" i="5"/>
  <c r="D71" i="5"/>
  <c r="C71" i="5"/>
  <c r="B71" i="5"/>
  <c r="A71" i="5"/>
  <c r="I70" i="5"/>
  <c r="H70" i="5"/>
  <c r="G70" i="5"/>
  <c r="F70" i="5"/>
  <c r="E70" i="5"/>
  <c r="D70" i="5"/>
  <c r="C70" i="5"/>
  <c r="B70" i="5"/>
  <c r="A70" i="5"/>
  <c r="I69" i="5"/>
  <c r="H69" i="5"/>
  <c r="G69" i="5"/>
  <c r="F69" i="5"/>
  <c r="E69" i="5"/>
  <c r="D69" i="5"/>
  <c r="C69" i="5"/>
  <c r="B69" i="5"/>
  <c r="A69" i="5"/>
  <c r="I68" i="5"/>
  <c r="H68" i="5"/>
  <c r="G68" i="5"/>
  <c r="F68" i="5"/>
  <c r="E68" i="5"/>
  <c r="D68" i="5"/>
  <c r="C68" i="5"/>
  <c r="B68" i="5"/>
  <c r="A68" i="5"/>
  <c r="I67" i="5"/>
  <c r="H67" i="5"/>
  <c r="G67" i="5"/>
  <c r="F67" i="5"/>
  <c r="E67" i="5"/>
  <c r="D67" i="5"/>
  <c r="C67" i="5"/>
  <c r="B67" i="5"/>
  <c r="A67" i="5"/>
  <c r="I66" i="5"/>
  <c r="H66" i="5"/>
  <c r="G66" i="5"/>
  <c r="F66" i="5"/>
  <c r="E66" i="5"/>
  <c r="D66" i="5"/>
  <c r="C66" i="5"/>
  <c r="B66" i="5"/>
  <c r="A66" i="5"/>
  <c r="I65" i="5"/>
  <c r="H65" i="5"/>
  <c r="G65" i="5"/>
  <c r="F65" i="5"/>
  <c r="E65" i="5"/>
  <c r="D65" i="5"/>
  <c r="C65" i="5"/>
  <c r="B65" i="5"/>
  <c r="A65" i="5"/>
  <c r="I64" i="5"/>
  <c r="H64" i="5"/>
  <c r="G64" i="5"/>
  <c r="F64" i="5"/>
  <c r="E64" i="5"/>
  <c r="D64" i="5"/>
  <c r="C64" i="5"/>
  <c r="B64" i="5"/>
  <c r="A64" i="5"/>
  <c r="I63" i="5"/>
  <c r="H63" i="5"/>
  <c r="G63" i="5"/>
  <c r="F63" i="5"/>
  <c r="E63" i="5"/>
  <c r="D63" i="5"/>
  <c r="C63" i="5"/>
  <c r="B63" i="5"/>
  <c r="A63" i="5"/>
  <c r="I62" i="5"/>
  <c r="H62" i="5"/>
  <c r="G62" i="5"/>
  <c r="F62" i="5"/>
  <c r="E62" i="5"/>
  <c r="D62" i="5"/>
  <c r="C62" i="5"/>
  <c r="B62" i="5"/>
  <c r="A62" i="5"/>
  <c r="I61" i="5"/>
  <c r="H61" i="5"/>
  <c r="G61" i="5"/>
  <c r="F61" i="5"/>
  <c r="E61" i="5"/>
  <c r="D61" i="5"/>
  <c r="C61" i="5"/>
  <c r="B61" i="5"/>
  <c r="A61" i="5"/>
  <c r="I60" i="5"/>
  <c r="H60" i="5"/>
  <c r="G60" i="5"/>
  <c r="F60" i="5"/>
  <c r="E60" i="5"/>
  <c r="D60" i="5"/>
  <c r="C60" i="5"/>
  <c r="B60" i="5"/>
  <c r="A60" i="5"/>
  <c r="I59" i="5"/>
  <c r="H59" i="5"/>
  <c r="G59" i="5"/>
  <c r="F59" i="5"/>
  <c r="E59" i="5"/>
  <c r="D59" i="5"/>
  <c r="C59" i="5"/>
  <c r="B59" i="5"/>
  <c r="A59" i="5"/>
  <c r="I58" i="5"/>
  <c r="H58" i="5"/>
  <c r="G58" i="5"/>
  <c r="F58" i="5"/>
  <c r="E58" i="5"/>
  <c r="D58" i="5"/>
  <c r="C58" i="5"/>
  <c r="B58" i="5"/>
  <c r="A58" i="5"/>
  <c r="I57" i="5"/>
  <c r="H57" i="5"/>
  <c r="G57" i="5"/>
  <c r="F57" i="5"/>
  <c r="E57" i="5"/>
  <c r="D57" i="5"/>
  <c r="C57" i="5"/>
  <c r="B57" i="5"/>
  <c r="A57" i="5"/>
  <c r="I56" i="5"/>
  <c r="H56" i="5"/>
  <c r="G56" i="5"/>
  <c r="F56" i="5"/>
  <c r="E56" i="5"/>
  <c r="D56" i="5"/>
  <c r="C56" i="5"/>
  <c r="B56" i="5"/>
  <c r="A56" i="5"/>
  <c r="I55" i="5"/>
  <c r="H55" i="5"/>
  <c r="G55" i="5"/>
  <c r="F55" i="5"/>
  <c r="E55" i="5"/>
  <c r="D55" i="5"/>
  <c r="C55" i="5"/>
  <c r="B55" i="5"/>
  <c r="A55" i="5"/>
  <c r="I54" i="5"/>
  <c r="H54" i="5"/>
  <c r="G54" i="5"/>
  <c r="F54" i="5"/>
  <c r="E54" i="5"/>
  <c r="D54" i="5"/>
  <c r="C54" i="5"/>
  <c r="B54" i="5"/>
  <c r="A54" i="5"/>
  <c r="I53" i="5"/>
  <c r="H53" i="5"/>
  <c r="G53" i="5"/>
  <c r="F53" i="5"/>
  <c r="E53" i="5"/>
  <c r="D53" i="5"/>
  <c r="C53" i="5"/>
  <c r="B53" i="5"/>
  <c r="A53" i="5"/>
  <c r="I52" i="5"/>
  <c r="H52" i="5"/>
  <c r="G52" i="5"/>
  <c r="F52" i="5"/>
  <c r="E52" i="5"/>
  <c r="D52" i="5"/>
  <c r="C52" i="5"/>
  <c r="B52" i="5"/>
  <c r="A52" i="5"/>
  <c r="I51" i="5"/>
  <c r="H51" i="5"/>
  <c r="G51" i="5"/>
  <c r="F51" i="5"/>
  <c r="E51" i="5"/>
  <c r="D51" i="5"/>
  <c r="C51" i="5"/>
  <c r="B51" i="5"/>
  <c r="A51" i="5"/>
  <c r="I50" i="5"/>
  <c r="H50" i="5"/>
  <c r="G50" i="5"/>
  <c r="F50" i="5"/>
  <c r="E50" i="5"/>
  <c r="D50" i="5"/>
  <c r="C50" i="5"/>
  <c r="B50" i="5"/>
  <c r="A50" i="5"/>
  <c r="I49" i="5"/>
  <c r="H49" i="5"/>
  <c r="G49" i="5"/>
  <c r="F49" i="5"/>
  <c r="E49" i="5"/>
  <c r="D49" i="5"/>
  <c r="C49" i="5"/>
  <c r="B49" i="5"/>
  <c r="A49" i="5"/>
  <c r="I48" i="5"/>
  <c r="H48" i="5"/>
  <c r="G48" i="5"/>
  <c r="F48" i="5"/>
  <c r="E48" i="5"/>
  <c r="D48" i="5"/>
  <c r="C48" i="5"/>
  <c r="B48" i="5"/>
  <c r="A48" i="5"/>
  <c r="I47" i="5"/>
  <c r="H47" i="5"/>
  <c r="G47" i="5"/>
  <c r="F47" i="5"/>
  <c r="E47" i="5"/>
  <c r="D47" i="5"/>
  <c r="C47" i="5"/>
  <c r="B47" i="5"/>
  <c r="A47" i="5"/>
  <c r="I46" i="5"/>
  <c r="H46" i="5"/>
  <c r="G46" i="5"/>
  <c r="F46" i="5"/>
  <c r="E46" i="5"/>
  <c r="D46" i="5"/>
  <c r="C46" i="5"/>
  <c r="B46" i="5"/>
  <c r="A46" i="5"/>
  <c r="I45" i="5"/>
  <c r="H45" i="5"/>
  <c r="G45" i="5"/>
  <c r="F45" i="5"/>
  <c r="E45" i="5"/>
  <c r="D45" i="5"/>
  <c r="C45" i="5"/>
  <c r="B45" i="5"/>
  <c r="A45" i="5"/>
  <c r="I44" i="5"/>
  <c r="H44" i="5"/>
  <c r="G44" i="5"/>
  <c r="F44" i="5"/>
  <c r="E44" i="5"/>
  <c r="D44" i="5"/>
  <c r="C44" i="5"/>
  <c r="B44" i="5"/>
  <c r="A44" i="5"/>
  <c r="I43" i="5"/>
  <c r="H43" i="5"/>
  <c r="G43" i="5"/>
  <c r="F43" i="5"/>
  <c r="E43" i="5"/>
  <c r="D43" i="5"/>
  <c r="C43" i="5"/>
  <c r="B43" i="5"/>
  <c r="A43" i="5"/>
  <c r="I42" i="5"/>
  <c r="H42" i="5"/>
  <c r="G42" i="5"/>
  <c r="F42" i="5"/>
  <c r="E42" i="5"/>
  <c r="D42" i="5"/>
  <c r="C42" i="5"/>
  <c r="B42" i="5"/>
  <c r="A42" i="5"/>
  <c r="I41" i="5"/>
  <c r="G41" i="5"/>
  <c r="F41" i="5"/>
  <c r="E41" i="5"/>
  <c r="D41" i="5"/>
  <c r="C41" i="5"/>
  <c r="B41" i="5"/>
  <c r="A41" i="5"/>
  <c r="I40" i="5"/>
  <c r="H40" i="5"/>
  <c r="G40" i="5"/>
  <c r="F40" i="5"/>
  <c r="E40" i="5"/>
  <c r="D40" i="5"/>
  <c r="C40" i="5"/>
  <c r="B40" i="5"/>
  <c r="A40" i="5"/>
  <c r="I39" i="5"/>
  <c r="H39" i="5"/>
  <c r="G39" i="5"/>
  <c r="F39" i="5"/>
  <c r="E39" i="5"/>
  <c r="D39" i="5"/>
  <c r="C39" i="5"/>
  <c r="B39" i="5"/>
  <c r="A39" i="5"/>
  <c r="I38" i="5"/>
  <c r="H38" i="5"/>
  <c r="G38" i="5"/>
  <c r="F38" i="5"/>
  <c r="E38" i="5"/>
  <c r="D38" i="5"/>
  <c r="C38" i="5"/>
  <c r="B38" i="5"/>
  <c r="A38" i="5"/>
  <c r="I37" i="5"/>
  <c r="H37" i="5"/>
  <c r="G37" i="5"/>
  <c r="F37" i="5"/>
  <c r="E37" i="5"/>
  <c r="D37" i="5"/>
  <c r="C37" i="5"/>
  <c r="B37" i="5"/>
  <c r="A37" i="5"/>
  <c r="I36" i="5"/>
  <c r="H36" i="5"/>
  <c r="G36" i="5"/>
  <c r="F36" i="5"/>
  <c r="E36" i="5"/>
  <c r="D36" i="5"/>
  <c r="C36" i="5"/>
  <c r="B36" i="5"/>
  <c r="A36" i="5"/>
  <c r="I35" i="5"/>
  <c r="H35" i="5"/>
  <c r="G35" i="5"/>
  <c r="F35" i="5"/>
  <c r="E35" i="5"/>
  <c r="D35" i="5"/>
  <c r="C35" i="5"/>
  <c r="B35" i="5"/>
  <c r="A35" i="5"/>
  <c r="I34" i="5"/>
  <c r="H34" i="5"/>
  <c r="G34" i="5"/>
  <c r="F34" i="5"/>
  <c r="E34" i="5"/>
  <c r="D34" i="5"/>
  <c r="C34" i="5"/>
  <c r="B34" i="5"/>
  <c r="A34" i="5"/>
  <c r="I33" i="5"/>
  <c r="H33" i="5"/>
  <c r="G33" i="5"/>
  <c r="F33" i="5"/>
  <c r="E33" i="5"/>
  <c r="D33" i="5"/>
  <c r="C33" i="5"/>
  <c r="B33" i="5"/>
  <c r="A33" i="5"/>
  <c r="I32" i="5"/>
  <c r="H32" i="5"/>
  <c r="G32" i="5"/>
  <c r="F32" i="5"/>
  <c r="E32" i="5"/>
  <c r="D32" i="5"/>
  <c r="C32" i="5"/>
  <c r="B32" i="5"/>
  <c r="A32" i="5"/>
  <c r="I31" i="5"/>
  <c r="H31" i="5"/>
  <c r="G31" i="5"/>
  <c r="F31" i="5"/>
  <c r="E31" i="5"/>
  <c r="D31" i="5"/>
  <c r="C31" i="5"/>
  <c r="B31" i="5"/>
  <c r="A31" i="5"/>
  <c r="I30" i="5"/>
  <c r="H30" i="5"/>
  <c r="G30" i="5"/>
  <c r="F30" i="5"/>
  <c r="E30" i="5"/>
  <c r="D30" i="5"/>
  <c r="C30" i="5"/>
  <c r="B30" i="5"/>
  <c r="A30" i="5"/>
  <c r="I29" i="5"/>
  <c r="H29" i="5"/>
  <c r="G29" i="5"/>
  <c r="F29" i="5"/>
  <c r="E29" i="5"/>
  <c r="D29" i="5"/>
  <c r="C29" i="5"/>
  <c r="B29" i="5"/>
  <c r="A29" i="5"/>
  <c r="I28" i="5"/>
  <c r="H28" i="5"/>
  <c r="G28" i="5"/>
  <c r="F28" i="5"/>
  <c r="E28" i="5"/>
  <c r="D28" i="5"/>
  <c r="C28" i="5"/>
  <c r="B28" i="5"/>
  <c r="A28" i="5"/>
  <c r="I27" i="5"/>
  <c r="H27" i="5"/>
  <c r="G27" i="5"/>
  <c r="F27" i="5"/>
  <c r="E27" i="5"/>
  <c r="D27" i="5"/>
  <c r="C27" i="5"/>
  <c r="B27" i="5"/>
  <c r="A27" i="5"/>
  <c r="I26" i="5"/>
  <c r="H26" i="5"/>
  <c r="G26" i="5"/>
  <c r="F26" i="5"/>
  <c r="E26" i="5"/>
  <c r="D26" i="5"/>
  <c r="C26" i="5"/>
  <c r="B26" i="5"/>
  <c r="A26" i="5"/>
  <c r="I25" i="5"/>
  <c r="H25" i="5"/>
  <c r="G25" i="5"/>
  <c r="F25" i="5"/>
  <c r="E25" i="5"/>
  <c r="D25" i="5"/>
  <c r="C25" i="5"/>
  <c r="B25" i="5"/>
  <c r="A25" i="5"/>
  <c r="I24" i="5"/>
  <c r="H24" i="5"/>
  <c r="G24" i="5"/>
  <c r="F24" i="5"/>
  <c r="E24" i="5"/>
  <c r="D24" i="5"/>
  <c r="C24" i="5"/>
  <c r="B24" i="5"/>
  <c r="A24" i="5"/>
  <c r="I23" i="5"/>
  <c r="H23" i="5"/>
  <c r="G23" i="5"/>
  <c r="F23" i="5"/>
  <c r="E23" i="5"/>
  <c r="D23" i="5"/>
  <c r="C23" i="5"/>
  <c r="B23" i="5"/>
  <c r="A23" i="5"/>
  <c r="I22" i="5"/>
  <c r="H22" i="5"/>
  <c r="G22" i="5"/>
  <c r="F22" i="5"/>
  <c r="E22" i="5"/>
  <c r="D22" i="5"/>
  <c r="C22" i="5"/>
  <c r="B22" i="5"/>
  <c r="A22" i="5"/>
  <c r="I21" i="5"/>
  <c r="H21" i="5"/>
  <c r="G21" i="5"/>
  <c r="F21" i="5"/>
  <c r="E21" i="5"/>
  <c r="D21" i="5"/>
  <c r="C21" i="5"/>
  <c r="B21" i="5"/>
  <c r="A21" i="5"/>
  <c r="I20" i="5"/>
  <c r="H20" i="5"/>
  <c r="G20" i="5"/>
  <c r="F20" i="5"/>
  <c r="E20" i="5"/>
  <c r="D20" i="5"/>
  <c r="C20" i="5"/>
  <c r="B20" i="5"/>
  <c r="A20" i="5"/>
  <c r="I19" i="5"/>
  <c r="H19" i="5"/>
  <c r="G19" i="5"/>
  <c r="F19" i="5"/>
  <c r="E19" i="5"/>
  <c r="D19" i="5"/>
  <c r="C19" i="5"/>
  <c r="B19" i="5"/>
  <c r="A19" i="5"/>
  <c r="I18" i="5"/>
  <c r="H18" i="5"/>
  <c r="G18" i="5"/>
  <c r="F18" i="5"/>
  <c r="E18" i="5"/>
  <c r="D18" i="5"/>
  <c r="C18" i="5"/>
  <c r="B18" i="5"/>
  <c r="A18" i="5"/>
  <c r="I17" i="5"/>
  <c r="H17" i="5"/>
  <c r="G17" i="5"/>
  <c r="F17" i="5"/>
  <c r="E17" i="5"/>
  <c r="D17" i="5"/>
  <c r="C17" i="5"/>
  <c r="B17" i="5"/>
  <c r="A17" i="5"/>
  <c r="I16" i="5"/>
  <c r="H16" i="5"/>
  <c r="G16" i="5"/>
  <c r="F16" i="5"/>
  <c r="E16" i="5"/>
  <c r="D16" i="5"/>
  <c r="C16" i="5"/>
  <c r="B16" i="5"/>
  <c r="A16" i="5"/>
  <c r="I15" i="5"/>
  <c r="H15" i="5"/>
  <c r="G15" i="5"/>
  <c r="F15" i="5"/>
  <c r="E15" i="5"/>
  <c r="D15" i="5"/>
  <c r="C15" i="5"/>
  <c r="B15" i="5"/>
  <c r="A15" i="5"/>
  <c r="I14" i="5"/>
  <c r="H14" i="5"/>
  <c r="G14" i="5"/>
  <c r="F14" i="5"/>
  <c r="E14" i="5"/>
  <c r="D14" i="5"/>
  <c r="C14" i="5"/>
  <c r="B14" i="5"/>
  <c r="A14" i="5"/>
  <c r="I13" i="5"/>
  <c r="H13" i="5"/>
  <c r="G13" i="5"/>
  <c r="F13" i="5"/>
  <c r="E13" i="5"/>
  <c r="D13" i="5"/>
  <c r="C13" i="5"/>
  <c r="B13" i="5"/>
  <c r="A13" i="5"/>
  <c r="I12" i="5"/>
  <c r="H12" i="5"/>
  <c r="G12" i="5"/>
  <c r="F12" i="5"/>
  <c r="E12" i="5"/>
  <c r="D12" i="5"/>
  <c r="C12" i="5"/>
  <c r="B12" i="5"/>
  <c r="A12" i="5"/>
  <c r="I11" i="5"/>
  <c r="H11" i="5"/>
  <c r="G11" i="5"/>
  <c r="F11" i="5"/>
  <c r="E11" i="5"/>
  <c r="D11" i="5"/>
  <c r="C11" i="5"/>
  <c r="B11" i="5"/>
  <c r="A11" i="5"/>
  <c r="I10" i="5"/>
  <c r="H10" i="5"/>
  <c r="G10" i="5"/>
  <c r="F10" i="5"/>
  <c r="E10" i="5"/>
  <c r="D10" i="5"/>
  <c r="C10" i="5"/>
  <c r="B10" i="5"/>
  <c r="A10" i="5"/>
  <c r="I9" i="5"/>
  <c r="H9" i="5"/>
  <c r="G9" i="5"/>
  <c r="F9" i="5"/>
  <c r="E9" i="5"/>
  <c r="D9" i="5"/>
  <c r="C9" i="5"/>
  <c r="B9" i="5"/>
  <c r="A9" i="5"/>
  <c r="I8" i="5"/>
  <c r="H8" i="5"/>
  <c r="G8" i="5"/>
  <c r="F8" i="5"/>
  <c r="E8" i="5"/>
  <c r="D8" i="5"/>
  <c r="C8" i="5"/>
  <c r="B8" i="5"/>
  <c r="A8" i="5"/>
  <c r="I7" i="5"/>
  <c r="H7" i="5"/>
  <c r="G7" i="5"/>
  <c r="F7" i="5"/>
  <c r="E7" i="5"/>
  <c r="D7" i="5"/>
  <c r="C7" i="5"/>
  <c r="B7" i="5"/>
  <c r="A7" i="5"/>
  <c r="I6" i="5"/>
  <c r="H6" i="5"/>
  <c r="G6" i="5"/>
  <c r="F6" i="5"/>
  <c r="E6" i="5"/>
  <c r="D6" i="5"/>
  <c r="C6" i="5"/>
  <c r="B6" i="5"/>
  <c r="A6" i="5"/>
  <c r="I5" i="5"/>
  <c r="H5" i="5"/>
  <c r="G5" i="5"/>
  <c r="F5" i="5"/>
  <c r="E5" i="5"/>
  <c r="D5" i="5"/>
  <c r="C5" i="5"/>
  <c r="B5" i="5"/>
  <c r="A5" i="5"/>
  <c r="I4" i="5"/>
  <c r="H4" i="5"/>
  <c r="G4" i="5"/>
  <c r="F4" i="5"/>
  <c r="E4" i="5"/>
  <c r="D4" i="5"/>
  <c r="C4" i="5"/>
  <c r="B4" i="5"/>
  <c r="A4" i="5"/>
  <c r="I3" i="5"/>
  <c r="H3" i="5"/>
  <c r="G3" i="5"/>
  <c r="F3" i="5"/>
  <c r="E3" i="5"/>
  <c r="D3" i="5"/>
  <c r="C3" i="5"/>
  <c r="B3" i="5"/>
  <c r="A3" i="5"/>
  <c r="I2" i="5"/>
  <c r="H2" i="5"/>
  <c r="G2" i="5"/>
  <c r="F2" i="5"/>
  <c r="E2" i="5"/>
  <c r="D2" i="5"/>
  <c r="C2" i="5"/>
  <c r="B2" i="5"/>
  <c r="A2" i="5"/>
  <c r="A1" i="5"/>
  <c r="D13" i="4"/>
  <c r="D12" i="4"/>
  <c r="D11" i="4"/>
  <c r="C8" i="4"/>
  <c r="C7" i="4"/>
  <c r="B7" i="4"/>
  <c r="D4" i="4"/>
  <c r="D3" i="4"/>
  <c r="X700" i="3"/>
  <c r="W700" i="3" a="1"/>
  <c r="W700" i="3"/>
  <c r="X699" i="3"/>
  <c r="W699" i="3" a="1"/>
  <c r="W699" i="3"/>
  <c r="X698" i="3"/>
  <c r="W698" i="3" a="1"/>
  <c r="W698" i="3"/>
  <c r="X697" i="3"/>
  <c r="W697" i="3" a="1"/>
  <c r="W697" i="3"/>
  <c r="X696" i="3"/>
  <c r="W696" i="3" a="1"/>
  <c r="W696" i="3"/>
  <c r="X695" i="3"/>
  <c r="W695" i="3" a="1"/>
  <c r="W695" i="3"/>
  <c r="X694" i="3"/>
  <c r="W694" i="3" a="1"/>
  <c r="W694" i="3"/>
  <c r="X693" i="3"/>
  <c r="W693" i="3" a="1"/>
  <c r="W693" i="3"/>
  <c r="X692" i="3"/>
  <c r="W692" i="3" a="1"/>
  <c r="W692" i="3"/>
  <c r="X691" i="3"/>
  <c r="W691" i="3" a="1"/>
  <c r="W691" i="3"/>
  <c r="X690" i="3"/>
  <c r="W690" i="3" a="1"/>
  <c r="W690" i="3"/>
  <c r="X689" i="3"/>
  <c r="W689" i="3" a="1"/>
  <c r="W689" i="3"/>
  <c r="X688" i="3"/>
  <c r="W688" i="3" a="1"/>
  <c r="W688" i="3"/>
  <c r="X687" i="3"/>
  <c r="W687" i="3" a="1"/>
  <c r="W687" i="3"/>
  <c r="X686" i="3"/>
  <c r="W686" i="3" a="1"/>
  <c r="W686" i="3"/>
  <c r="X685" i="3"/>
  <c r="W685" i="3" a="1"/>
  <c r="W685" i="3"/>
  <c r="X684" i="3"/>
  <c r="W684" i="3" a="1"/>
  <c r="W684" i="3"/>
  <c r="X683" i="3"/>
  <c r="W683" i="3" a="1"/>
  <c r="W683" i="3"/>
  <c r="X682" i="3"/>
  <c r="W682" i="3" a="1"/>
  <c r="W682" i="3"/>
  <c r="X681" i="3"/>
  <c r="W681" i="3" a="1"/>
  <c r="W681" i="3"/>
  <c r="X680" i="3"/>
  <c r="W680" i="3" a="1"/>
  <c r="W680" i="3"/>
  <c r="X679" i="3"/>
  <c r="W679" i="3" a="1"/>
  <c r="W679" i="3"/>
  <c r="X678" i="3"/>
  <c r="W678" i="3" a="1"/>
  <c r="W678" i="3"/>
  <c r="X677" i="3"/>
  <c r="W677" i="3" a="1"/>
  <c r="W677" i="3"/>
  <c r="X676" i="3"/>
  <c r="W676" i="3" a="1"/>
  <c r="W676" i="3"/>
  <c r="X675" i="3"/>
  <c r="W675" i="3" a="1"/>
  <c r="W675" i="3"/>
  <c r="X674" i="3"/>
  <c r="W674" i="3" a="1"/>
  <c r="W674" i="3"/>
  <c r="X673" i="3"/>
  <c r="W673" i="3" a="1"/>
  <c r="W673" i="3"/>
  <c r="X672" i="3"/>
  <c r="W672" i="3" a="1"/>
  <c r="W672" i="3"/>
  <c r="X671" i="3"/>
  <c r="W671" i="3" a="1"/>
  <c r="W671" i="3"/>
  <c r="X670" i="3"/>
  <c r="W670" i="3" a="1"/>
  <c r="W670" i="3"/>
  <c r="X669" i="3"/>
  <c r="W669" i="3" a="1"/>
  <c r="W669" i="3"/>
  <c r="X668" i="3"/>
  <c r="W668" i="3" a="1"/>
  <c r="W668" i="3"/>
  <c r="X667" i="3"/>
  <c r="W667" i="3" a="1"/>
  <c r="W667" i="3"/>
  <c r="X666" i="3"/>
  <c r="W666" i="3" a="1"/>
  <c r="W666" i="3"/>
  <c r="X665" i="3"/>
  <c r="W665" i="3" a="1"/>
  <c r="W665" i="3"/>
  <c r="X664" i="3"/>
  <c r="W664" i="3" a="1"/>
  <c r="W664" i="3"/>
  <c r="X663" i="3"/>
  <c r="W663" i="3" a="1"/>
  <c r="W663" i="3"/>
  <c r="X662" i="3"/>
  <c r="W662" i="3" a="1"/>
  <c r="W662" i="3"/>
  <c r="X661" i="3"/>
  <c r="W661" i="3" a="1"/>
  <c r="W661" i="3"/>
  <c r="X660" i="3"/>
  <c r="W660" i="3" a="1"/>
  <c r="W660" i="3"/>
  <c r="X659" i="3"/>
  <c r="W659" i="3" a="1"/>
  <c r="W659" i="3"/>
  <c r="X658" i="3"/>
  <c r="W658" i="3" a="1"/>
  <c r="W658" i="3"/>
  <c r="X657" i="3"/>
  <c r="W657" i="3" a="1"/>
  <c r="W657" i="3"/>
  <c r="X656" i="3"/>
  <c r="W656" i="3" a="1"/>
  <c r="W656" i="3"/>
  <c r="X655" i="3"/>
  <c r="W655" i="3" a="1"/>
  <c r="W655" i="3"/>
  <c r="X654" i="3"/>
  <c r="W654" i="3" a="1"/>
  <c r="W654" i="3"/>
  <c r="X653" i="3"/>
  <c r="W653" i="3" a="1"/>
  <c r="W653" i="3"/>
  <c r="X652" i="3"/>
  <c r="W652" i="3" a="1"/>
  <c r="W652" i="3"/>
  <c r="X651" i="3"/>
  <c r="W651" i="3" a="1"/>
  <c r="W651" i="3"/>
  <c r="X650" i="3"/>
  <c r="W650" i="3" a="1"/>
  <c r="W650" i="3"/>
  <c r="X649" i="3"/>
  <c r="W649" i="3" a="1"/>
  <c r="W649" i="3"/>
  <c r="X648" i="3"/>
  <c r="W648" i="3" a="1"/>
  <c r="W648" i="3"/>
  <c r="X647" i="3"/>
  <c r="W647" i="3" a="1"/>
  <c r="W647" i="3"/>
  <c r="X646" i="3"/>
  <c r="W646" i="3" a="1"/>
  <c r="W646" i="3"/>
  <c r="X645" i="3"/>
  <c r="W645" i="3" a="1"/>
  <c r="W645" i="3"/>
  <c r="X644" i="3"/>
  <c r="W644" i="3" a="1"/>
  <c r="W644" i="3"/>
  <c r="X643" i="3"/>
  <c r="W643" i="3" a="1"/>
  <c r="W643" i="3"/>
  <c r="X642" i="3"/>
  <c r="W642" i="3" a="1"/>
  <c r="W642" i="3"/>
  <c r="X641" i="3"/>
  <c r="W641" i="3" a="1"/>
  <c r="W641" i="3"/>
  <c r="X640" i="3"/>
  <c r="W640" i="3" a="1"/>
  <c r="W640" i="3"/>
  <c r="X639" i="3"/>
  <c r="W639" i="3" a="1"/>
  <c r="W639" i="3"/>
  <c r="X638" i="3"/>
  <c r="W638" i="3" a="1"/>
  <c r="W638" i="3"/>
  <c r="X637" i="3"/>
  <c r="W637" i="3" a="1"/>
  <c r="W637" i="3"/>
  <c r="X636" i="3"/>
  <c r="W636" i="3" a="1"/>
  <c r="W636" i="3"/>
  <c r="X635" i="3"/>
  <c r="W635" i="3" a="1"/>
  <c r="W635" i="3"/>
  <c r="X634" i="3"/>
  <c r="W634" i="3" a="1"/>
  <c r="W634" i="3"/>
  <c r="X633" i="3"/>
  <c r="W633" i="3" a="1"/>
  <c r="W633" i="3"/>
  <c r="X632" i="3"/>
  <c r="W632" i="3" a="1"/>
  <c r="W632" i="3"/>
  <c r="X631" i="3"/>
  <c r="W631" i="3" a="1"/>
  <c r="W631" i="3"/>
  <c r="X630" i="3"/>
  <c r="W630" i="3" a="1"/>
  <c r="W630" i="3"/>
  <c r="X629" i="3"/>
  <c r="W629" i="3" a="1"/>
  <c r="W629" i="3"/>
  <c r="X628" i="3"/>
  <c r="W628" i="3" a="1"/>
  <c r="W628" i="3"/>
  <c r="X627" i="3"/>
  <c r="W627" i="3" a="1"/>
  <c r="W627" i="3"/>
  <c r="X626" i="3"/>
  <c r="W626" i="3" a="1"/>
  <c r="W626" i="3"/>
  <c r="X625" i="3"/>
  <c r="W625" i="3" a="1"/>
  <c r="W625" i="3"/>
  <c r="X624" i="3"/>
  <c r="W624" i="3" a="1"/>
  <c r="W624" i="3"/>
  <c r="X623" i="3"/>
  <c r="W623" i="3" a="1"/>
  <c r="W623" i="3"/>
  <c r="X622" i="3"/>
  <c r="W622" i="3" a="1"/>
  <c r="W622" i="3"/>
  <c r="X621" i="3"/>
  <c r="W621" i="3" a="1"/>
  <c r="W621" i="3"/>
  <c r="X620" i="3"/>
  <c r="W620" i="3" a="1"/>
  <c r="W620" i="3"/>
  <c r="X619" i="3"/>
  <c r="W619" i="3" a="1"/>
  <c r="W619" i="3"/>
  <c r="X618" i="3"/>
  <c r="W618" i="3" a="1"/>
  <c r="W618" i="3"/>
  <c r="X617" i="3"/>
  <c r="W617" i="3" a="1"/>
  <c r="W617" i="3"/>
  <c r="X616" i="3"/>
  <c r="W616" i="3" a="1"/>
  <c r="W616" i="3"/>
  <c r="X615" i="3"/>
  <c r="W615" i="3" a="1"/>
  <c r="W615" i="3"/>
  <c r="X614" i="3"/>
  <c r="W614" i="3" a="1"/>
  <c r="W614" i="3"/>
  <c r="X613" i="3"/>
  <c r="W613" i="3" a="1"/>
  <c r="W613" i="3"/>
  <c r="X612" i="3"/>
  <c r="W612" i="3" a="1"/>
  <c r="W612" i="3"/>
  <c r="X611" i="3"/>
  <c r="W611" i="3" a="1"/>
  <c r="W611" i="3"/>
  <c r="X610" i="3"/>
  <c r="W610" i="3" a="1"/>
  <c r="W610" i="3"/>
  <c r="X609" i="3"/>
  <c r="W609" i="3" a="1"/>
  <c r="W609" i="3"/>
  <c r="X608" i="3"/>
  <c r="W608" i="3" a="1"/>
  <c r="W608" i="3"/>
  <c r="X607" i="3"/>
  <c r="W607" i="3" a="1"/>
  <c r="W607" i="3"/>
  <c r="X606" i="3"/>
  <c r="W606" i="3" a="1"/>
  <c r="W606" i="3"/>
  <c r="X605" i="3"/>
  <c r="W605" i="3" a="1"/>
  <c r="W605" i="3"/>
  <c r="X604" i="3"/>
  <c r="W604" i="3" a="1"/>
  <c r="W604" i="3"/>
  <c r="X603" i="3"/>
  <c r="W603" i="3" a="1"/>
  <c r="W603" i="3"/>
  <c r="X602" i="3"/>
  <c r="W602" i="3" a="1"/>
  <c r="W602" i="3"/>
  <c r="X601" i="3"/>
  <c r="W601" i="3" a="1"/>
  <c r="W601" i="3"/>
  <c r="X600" i="3"/>
  <c r="W600" i="3" a="1"/>
  <c r="W600" i="3"/>
  <c r="X599" i="3"/>
  <c r="W599" i="3" a="1"/>
  <c r="W599" i="3"/>
  <c r="X598" i="3"/>
  <c r="W598" i="3" a="1"/>
  <c r="W598" i="3"/>
  <c r="X597" i="3"/>
  <c r="W597" i="3" a="1"/>
  <c r="W597" i="3"/>
  <c r="X596" i="3"/>
  <c r="W596" i="3" a="1"/>
  <c r="W596" i="3"/>
  <c r="X595" i="3"/>
  <c r="W595" i="3" a="1"/>
  <c r="W595" i="3"/>
  <c r="X594" i="3"/>
  <c r="W594" i="3" a="1"/>
  <c r="W594" i="3"/>
  <c r="X593" i="3"/>
  <c r="W593" i="3" a="1"/>
  <c r="W593" i="3"/>
  <c r="X592" i="3"/>
  <c r="W592" i="3" a="1"/>
  <c r="W592" i="3"/>
  <c r="X591" i="3"/>
  <c r="W591" i="3" a="1"/>
  <c r="W591" i="3"/>
  <c r="X590" i="3"/>
  <c r="W590" i="3" a="1"/>
  <c r="W590" i="3"/>
  <c r="X589" i="3"/>
  <c r="W589" i="3" a="1"/>
  <c r="W589" i="3"/>
  <c r="X588" i="3"/>
  <c r="W588" i="3" a="1"/>
  <c r="W588" i="3"/>
  <c r="X587" i="3"/>
  <c r="W587" i="3" a="1"/>
  <c r="W587" i="3"/>
  <c r="X586" i="3"/>
  <c r="W586" i="3" a="1"/>
  <c r="W586" i="3"/>
  <c r="X585" i="3"/>
  <c r="W585" i="3" a="1"/>
  <c r="W585" i="3"/>
  <c r="X584" i="3"/>
  <c r="W584" i="3" a="1"/>
  <c r="W584" i="3"/>
  <c r="X583" i="3"/>
  <c r="W583" i="3" a="1"/>
  <c r="W583" i="3"/>
  <c r="X582" i="3"/>
  <c r="W582" i="3" a="1"/>
  <c r="W582" i="3"/>
  <c r="X581" i="3"/>
  <c r="W581" i="3" a="1"/>
  <c r="W581" i="3"/>
  <c r="X580" i="3"/>
  <c r="W580" i="3" a="1"/>
  <c r="W580" i="3"/>
  <c r="X579" i="3"/>
  <c r="W579" i="3" a="1"/>
  <c r="W579" i="3"/>
  <c r="X578" i="3"/>
  <c r="W578" i="3" a="1"/>
  <c r="W578" i="3"/>
  <c r="X577" i="3"/>
  <c r="W577" i="3" a="1"/>
  <c r="W577" i="3"/>
  <c r="X576" i="3"/>
  <c r="W576" i="3" a="1"/>
  <c r="W576" i="3"/>
  <c r="X575" i="3"/>
  <c r="W575" i="3" a="1"/>
  <c r="W575" i="3"/>
  <c r="X574" i="3"/>
  <c r="W574" i="3" a="1"/>
  <c r="W574" i="3"/>
  <c r="X573" i="3"/>
  <c r="W573" i="3" a="1"/>
  <c r="W573" i="3"/>
  <c r="X572" i="3"/>
  <c r="W572" i="3" a="1"/>
  <c r="W572" i="3"/>
  <c r="X571" i="3"/>
  <c r="W571" i="3" a="1"/>
  <c r="W571" i="3"/>
  <c r="X570" i="3"/>
  <c r="W570" i="3" a="1"/>
  <c r="W570" i="3"/>
  <c r="X569" i="3"/>
  <c r="W569" i="3" a="1"/>
  <c r="W569" i="3"/>
  <c r="X568" i="3"/>
  <c r="W568" i="3" a="1"/>
  <c r="W568" i="3"/>
  <c r="X567" i="3"/>
  <c r="W567" i="3" a="1"/>
  <c r="W567" i="3"/>
  <c r="X566" i="3"/>
  <c r="W566" i="3" a="1"/>
  <c r="W566" i="3"/>
  <c r="X565" i="3"/>
  <c r="W565" i="3" a="1"/>
  <c r="W565" i="3"/>
  <c r="X564" i="3"/>
  <c r="W564" i="3" a="1"/>
  <c r="W564" i="3"/>
  <c r="X563" i="3"/>
  <c r="W563" i="3" a="1"/>
  <c r="W563" i="3"/>
  <c r="X562" i="3"/>
  <c r="W562" i="3" a="1"/>
  <c r="W562" i="3"/>
  <c r="X561" i="3"/>
  <c r="W561" i="3" a="1"/>
  <c r="W561" i="3"/>
  <c r="X560" i="3"/>
  <c r="W560" i="3" a="1"/>
  <c r="W560" i="3"/>
  <c r="X559" i="3"/>
  <c r="W559" i="3" a="1"/>
  <c r="W559" i="3"/>
  <c r="X558" i="3"/>
  <c r="W558" i="3" a="1"/>
  <c r="W558" i="3"/>
  <c r="X557" i="3"/>
  <c r="W557" i="3" a="1"/>
  <c r="W557" i="3"/>
  <c r="X556" i="3"/>
  <c r="W556" i="3" a="1"/>
  <c r="W556" i="3"/>
  <c r="X555" i="3"/>
  <c r="W555" i="3" a="1"/>
  <c r="W555" i="3"/>
  <c r="X554" i="3"/>
  <c r="W554" i="3" a="1"/>
  <c r="W554" i="3"/>
  <c r="X553" i="3"/>
  <c r="W553" i="3" a="1"/>
  <c r="W553" i="3"/>
  <c r="X552" i="3"/>
  <c r="W552" i="3" a="1"/>
  <c r="W552" i="3"/>
  <c r="X551" i="3"/>
  <c r="W551" i="3" a="1"/>
  <c r="W551" i="3"/>
  <c r="X550" i="3"/>
  <c r="W550" i="3" a="1"/>
  <c r="W550" i="3"/>
  <c r="X549" i="3"/>
  <c r="W549" i="3" a="1"/>
  <c r="W549" i="3"/>
  <c r="X548" i="3"/>
  <c r="W548" i="3" a="1"/>
  <c r="W548" i="3"/>
  <c r="X547" i="3"/>
  <c r="W547" i="3" a="1"/>
  <c r="W547" i="3"/>
  <c r="X546" i="3"/>
  <c r="W546" i="3" a="1"/>
  <c r="W546" i="3"/>
  <c r="X545" i="3"/>
  <c r="W545" i="3" a="1"/>
  <c r="W545" i="3"/>
  <c r="X544" i="3"/>
  <c r="W544" i="3" a="1"/>
  <c r="W544" i="3"/>
  <c r="X543" i="3"/>
  <c r="W543" i="3" a="1"/>
  <c r="W543" i="3"/>
  <c r="X542" i="3"/>
  <c r="W542" i="3" a="1"/>
  <c r="W542" i="3"/>
  <c r="X541" i="3"/>
  <c r="W541" i="3" a="1"/>
  <c r="W541" i="3"/>
  <c r="X540" i="3"/>
  <c r="W540" i="3" a="1"/>
  <c r="W540" i="3"/>
  <c r="X539" i="3"/>
  <c r="W539" i="3" a="1"/>
  <c r="W539" i="3"/>
  <c r="X538" i="3"/>
  <c r="W538" i="3" a="1"/>
  <c r="W538" i="3"/>
  <c r="X537" i="3"/>
  <c r="W537" i="3" a="1"/>
  <c r="W537" i="3"/>
  <c r="X536" i="3"/>
  <c r="W536" i="3" a="1"/>
  <c r="W536" i="3"/>
  <c r="X535" i="3"/>
  <c r="W535" i="3" a="1"/>
  <c r="W535" i="3"/>
  <c r="X534" i="3"/>
  <c r="W534" i="3" a="1"/>
  <c r="W534" i="3"/>
  <c r="X533" i="3"/>
  <c r="W533" i="3" a="1"/>
  <c r="W533" i="3"/>
  <c r="X532" i="3"/>
  <c r="W532" i="3" a="1"/>
  <c r="W532" i="3"/>
  <c r="X531" i="3"/>
  <c r="W531" i="3" a="1"/>
  <c r="W531" i="3"/>
  <c r="X530" i="3"/>
  <c r="W530" i="3" a="1"/>
  <c r="W530" i="3"/>
  <c r="X529" i="3"/>
  <c r="W529" i="3" a="1"/>
  <c r="W529" i="3"/>
  <c r="X528" i="3"/>
  <c r="W528" i="3" a="1"/>
  <c r="W528" i="3"/>
  <c r="X527" i="3"/>
  <c r="W527" i="3" a="1"/>
  <c r="W527" i="3"/>
  <c r="X526" i="3"/>
  <c r="W526" i="3" a="1"/>
  <c r="W526" i="3"/>
  <c r="X525" i="3"/>
  <c r="W525" i="3" a="1"/>
  <c r="W525" i="3"/>
  <c r="X524" i="3"/>
  <c r="W524" i="3" a="1"/>
  <c r="W524" i="3"/>
  <c r="X523" i="3"/>
  <c r="W523" i="3" a="1"/>
  <c r="W523" i="3"/>
  <c r="X522" i="3"/>
  <c r="W522" i="3" a="1"/>
  <c r="W522" i="3"/>
  <c r="X521" i="3"/>
  <c r="W521" i="3" a="1"/>
  <c r="W521" i="3"/>
  <c r="X520" i="3"/>
  <c r="W520" i="3" a="1"/>
  <c r="W520" i="3"/>
  <c r="X519" i="3"/>
  <c r="W519" i="3" a="1"/>
  <c r="W519" i="3"/>
  <c r="X518" i="3"/>
  <c r="W518" i="3" a="1"/>
  <c r="W518" i="3"/>
  <c r="X517" i="3"/>
  <c r="W517" i="3" a="1"/>
  <c r="W517" i="3"/>
  <c r="X516" i="3"/>
  <c r="W516" i="3" a="1"/>
  <c r="W516" i="3"/>
  <c r="X515" i="3"/>
  <c r="W515" i="3" a="1"/>
  <c r="W515" i="3"/>
  <c r="X514" i="3"/>
  <c r="W514" i="3" a="1"/>
  <c r="W514" i="3"/>
  <c r="X513" i="3"/>
  <c r="W513" i="3" a="1"/>
  <c r="W513" i="3"/>
  <c r="X512" i="3"/>
  <c r="W512" i="3" a="1"/>
  <c r="W512" i="3"/>
  <c r="X511" i="3"/>
  <c r="W511" i="3" a="1"/>
  <c r="W511" i="3"/>
  <c r="X510" i="3"/>
  <c r="W510" i="3" a="1"/>
  <c r="W510" i="3"/>
  <c r="X509" i="3"/>
  <c r="W509" i="3" a="1"/>
  <c r="W509" i="3"/>
  <c r="X508" i="3"/>
  <c r="W508" i="3" a="1"/>
  <c r="W508" i="3"/>
  <c r="X507" i="3"/>
  <c r="W507" i="3" a="1"/>
  <c r="W507" i="3"/>
  <c r="X506" i="3"/>
  <c r="W506" i="3" a="1"/>
  <c r="W506" i="3"/>
  <c r="X505" i="3"/>
  <c r="W505" i="3" a="1"/>
  <c r="W505" i="3"/>
  <c r="X504" i="3"/>
  <c r="W504" i="3" a="1"/>
  <c r="W504" i="3"/>
  <c r="X503" i="3"/>
  <c r="W503" i="3" a="1"/>
  <c r="W503" i="3"/>
  <c r="X502" i="3"/>
  <c r="W502" i="3" a="1"/>
  <c r="W502" i="3"/>
  <c r="X501" i="3"/>
  <c r="W501" i="3" a="1"/>
  <c r="W501" i="3"/>
  <c r="X500" i="3"/>
  <c r="W500" i="3" a="1"/>
  <c r="W500" i="3"/>
  <c r="X499" i="3"/>
  <c r="W499" i="3" a="1"/>
  <c r="W499" i="3"/>
  <c r="X498" i="3"/>
  <c r="W498" i="3" a="1"/>
  <c r="W498" i="3"/>
  <c r="X497" i="3"/>
  <c r="W497" i="3" a="1"/>
  <c r="W497" i="3"/>
  <c r="X496" i="3"/>
  <c r="W496" i="3" a="1"/>
  <c r="W496" i="3"/>
  <c r="X495" i="3"/>
  <c r="W495" i="3" a="1"/>
  <c r="W495" i="3"/>
  <c r="X494" i="3"/>
  <c r="W494" i="3" a="1"/>
  <c r="W494" i="3"/>
  <c r="X493" i="3"/>
  <c r="W493" i="3" a="1"/>
  <c r="W493" i="3"/>
  <c r="X492" i="3"/>
  <c r="W492" i="3" a="1"/>
  <c r="W492" i="3"/>
  <c r="X491" i="3"/>
  <c r="W491" i="3" a="1"/>
  <c r="W491" i="3"/>
  <c r="X490" i="3"/>
  <c r="W490" i="3" a="1"/>
  <c r="W490" i="3"/>
  <c r="X489" i="3"/>
  <c r="W489" i="3" a="1"/>
  <c r="W489" i="3"/>
  <c r="X488" i="3"/>
  <c r="W488" i="3" a="1"/>
  <c r="W488" i="3"/>
  <c r="X487" i="3"/>
  <c r="W487" i="3" a="1"/>
  <c r="W487" i="3"/>
  <c r="X486" i="3"/>
  <c r="W486" i="3" a="1"/>
  <c r="W486" i="3"/>
  <c r="X485" i="3"/>
  <c r="W485" i="3" a="1"/>
  <c r="W485" i="3"/>
  <c r="X484" i="3"/>
  <c r="W484" i="3" a="1"/>
  <c r="W484" i="3"/>
  <c r="X483" i="3"/>
  <c r="W483" i="3" a="1"/>
  <c r="W483" i="3"/>
  <c r="X482" i="3"/>
  <c r="W482" i="3" a="1"/>
  <c r="W482" i="3"/>
  <c r="X481" i="3"/>
  <c r="W481" i="3" a="1"/>
  <c r="W481" i="3"/>
  <c r="X480" i="3"/>
  <c r="W480" i="3" a="1"/>
  <c r="W480" i="3"/>
  <c r="X479" i="3"/>
  <c r="W479" i="3" a="1"/>
  <c r="W479" i="3"/>
  <c r="X478" i="3"/>
  <c r="W478" i="3" a="1"/>
  <c r="W478" i="3"/>
  <c r="X477" i="3"/>
  <c r="W477" i="3" a="1"/>
  <c r="W477" i="3"/>
  <c r="X476" i="3"/>
  <c r="W476" i="3" a="1"/>
  <c r="W476" i="3"/>
  <c r="X475" i="3"/>
  <c r="W475" i="3" a="1"/>
  <c r="W475" i="3"/>
  <c r="X474" i="3"/>
  <c r="W474" i="3" a="1"/>
  <c r="W474" i="3"/>
  <c r="X473" i="3"/>
  <c r="W473" i="3" a="1"/>
  <c r="W473" i="3"/>
  <c r="X472" i="3"/>
  <c r="W472" i="3" a="1"/>
  <c r="W472" i="3"/>
  <c r="X471" i="3"/>
  <c r="W471" i="3" a="1"/>
  <c r="W471" i="3"/>
  <c r="X470" i="3"/>
  <c r="W470" i="3" a="1"/>
  <c r="W470" i="3"/>
  <c r="X469" i="3"/>
  <c r="W469" i="3" a="1"/>
  <c r="W469" i="3"/>
  <c r="X468" i="3"/>
  <c r="W468" i="3" a="1"/>
  <c r="W468" i="3"/>
  <c r="X467" i="3"/>
  <c r="W467" i="3" a="1"/>
  <c r="W467" i="3"/>
  <c r="X466" i="3"/>
  <c r="W466" i="3" a="1"/>
  <c r="W466" i="3"/>
  <c r="X465" i="3"/>
  <c r="W465" i="3" a="1"/>
  <c r="W465" i="3"/>
  <c r="X464" i="3"/>
  <c r="W464" i="3" a="1"/>
  <c r="W464" i="3"/>
  <c r="X463" i="3"/>
  <c r="W463" i="3" a="1"/>
  <c r="W463" i="3"/>
  <c r="X462" i="3"/>
  <c r="W462" i="3" a="1"/>
  <c r="W462" i="3"/>
  <c r="X461" i="3"/>
  <c r="W461" i="3" a="1"/>
  <c r="W461" i="3"/>
  <c r="X460" i="3"/>
  <c r="W460" i="3" a="1"/>
  <c r="W460" i="3"/>
  <c r="X459" i="3"/>
  <c r="W459" i="3" a="1"/>
  <c r="W459" i="3"/>
  <c r="X458" i="3"/>
  <c r="W458" i="3" a="1"/>
  <c r="W458" i="3"/>
  <c r="X457" i="3"/>
  <c r="W457" i="3" a="1"/>
  <c r="W457" i="3"/>
  <c r="X456" i="3"/>
  <c r="W456" i="3" a="1"/>
  <c r="W456" i="3"/>
  <c r="X455" i="3"/>
  <c r="W455" i="3" a="1"/>
  <c r="W455" i="3"/>
  <c r="X454" i="3"/>
  <c r="W454" i="3" a="1"/>
  <c r="W454" i="3"/>
  <c r="X453" i="3"/>
  <c r="W453" i="3" a="1"/>
  <c r="W453" i="3"/>
  <c r="X452" i="3"/>
  <c r="W452" i="3" a="1"/>
  <c r="W452" i="3"/>
  <c r="X451" i="3"/>
  <c r="W451" i="3" a="1"/>
  <c r="W451" i="3"/>
  <c r="X450" i="3"/>
  <c r="W450" i="3" a="1"/>
  <c r="W450" i="3"/>
  <c r="X449" i="3"/>
  <c r="W449" i="3" a="1"/>
  <c r="W449" i="3"/>
  <c r="X448" i="3"/>
  <c r="W448" i="3" a="1"/>
  <c r="W448" i="3"/>
  <c r="X447" i="3"/>
  <c r="W447" i="3" a="1"/>
  <c r="W447" i="3"/>
  <c r="X446" i="3"/>
  <c r="W446" i="3" a="1"/>
  <c r="W446" i="3"/>
  <c r="X445" i="3"/>
  <c r="W445" i="3" a="1"/>
  <c r="W445" i="3"/>
  <c r="X444" i="3"/>
  <c r="W444" i="3" a="1"/>
  <c r="W444" i="3"/>
  <c r="X443" i="3"/>
  <c r="W443" i="3" a="1"/>
  <c r="W443" i="3"/>
  <c r="X442" i="3"/>
  <c r="W442" i="3" a="1"/>
  <c r="W442" i="3"/>
  <c r="X441" i="3"/>
  <c r="W441" i="3" a="1"/>
  <c r="W441" i="3"/>
  <c r="X440" i="3"/>
  <c r="W440" i="3" a="1"/>
  <c r="W440" i="3"/>
  <c r="X439" i="3"/>
  <c r="W439" i="3" a="1"/>
  <c r="W439" i="3"/>
  <c r="X438" i="3"/>
  <c r="W438" i="3" a="1"/>
  <c r="W438" i="3"/>
  <c r="X437" i="3"/>
  <c r="W437" i="3" a="1"/>
  <c r="W437" i="3"/>
  <c r="X436" i="3"/>
  <c r="W436" i="3" a="1"/>
  <c r="W436" i="3"/>
  <c r="X435" i="3"/>
  <c r="W435" i="3" a="1"/>
  <c r="W435" i="3"/>
  <c r="X434" i="3"/>
  <c r="W434" i="3" a="1"/>
  <c r="W434" i="3"/>
  <c r="X433" i="3"/>
  <c r="W433" i="3" a="1"/>
  <c r="W433" i="3"/>
  <c r="X432" i="3"/>
  <c r="W432" i="3" a="1"/>
  <c r="W432" i="3"/>
  <c r="X431" i="3"/>
  <c r="W431" i="3" a="1"/>
  <c r="W431" i="3"/>
  <c r="X430" i="3"/>
  <c r="W430" i="3" a="1"/>
  <c r="W430" i="3"/>
  <c r="X429" i="3"/>
  <c r="W429" i="3" a="1"/>
  <c r="W429" i="3"/>
  <c r="X428" i="3"/>
  <c r="W428" i="3" a="1"/>
  <c r="W428" i="3"/>
  <c r="X427" i="3"/>
  <c r="W427" i="3" a="1"/>
  <c r="W427" i="3"/>
  <c r="X426" i="3"/>
  <c r="W426" i="3" a="1"/>
  <c r="W426" i="3"/>
  <c r="X425" i="3"/>
  <c r="W425" i="3" a="1"/>
  <c r="W425" i="3"/>
  <c r="X424" i="3"/>
  <c r="W424" i="3" a="1"/>
  <c r="W424" i="3"/>
  <c r="X423" i="3"/>
  <c r="W423" i="3" a="1"/>
  <c r="W423" i="3"/>
  <c r="X422" i="3"/>
  <c r="W422" i="3" a="1"/>
  <c r="W422" i="3"/>
  <c r="X421" i="3"/>
  <c r="W421" i="3" a="1"/>
  <c r="W421" i="3"/>
  <c r="X420" i="3"/>
  <c r="W420" i="3" a="1"/>
  <c r="W420" i="3"/>
  <c r="X419" i="3"/>
  <c r="W419" i="3" a="1"/>
  <c r="W419" i="3"/>
  <c r="X418" i="3"/>
  <c r="W418" i="3" a="1"/>
  <c r="W418" i="3"/>
  <c r="X417" i="3"/>
  <c r="W417" i="3" a="1"/>
  <c r="W417" i="3"/>
  <c r="X416" i="3"/>
  <c r="W416" i="3" a="1"/>
  <c r="W416" i="3"/>
  <c r="X415" i="3"/>
  <c r="W415" i="3" a="1"/>
  <c r="W415" i="3"/>
  <c r="X414" i="3"/>
  <c r="W414" i="3" a="1"/>
  <c r="W414" i="3"/>
  <c r="X413" i="3"/>
  <c r="W413" i="3" a="1"/>
  <c r="W413" i="3"/>
  <c r="X412" i="3"/>
  <c r="W412" i="3" a="1"/>
  <c r="W412" i="3"/>
  <c r="X411" i="3"/>
  <c r="W411" i="3" a="1"/>
  <c r="W411" i="3"/>
  <c r="X410" i="3"/>
  <c r="W410" i="3" a="1"/>
  <c r="W410" i="3"/>
  <c r="X409" i="3"/>
  <c r="W409" i="3" a="1"/>
  <c r="W409" i="3"/>
  <c r="X408" i="3"/>
  <c r="W408" i="3" a="1"/>
  <c r="W408" i="3"/>
  <c r="X407" i="3"/>
  <c r="W407" i="3" a="1"/>
  <c r="W407" i="3"/>
  <c r="X406" i="3"/>
  <c r="W406" i="3" a="1"/>
  <c r="W406" i="3"/>
  <c r="X405" i="3"/>
  <c r="W405" i="3" a="1"/>
  <c r="W405" i="3"/>
  <c r="X404" i="3"/>
  <c r="W404" i="3" a="1"/>
  <c r="W404" i="3"/>
  <c r="X403" i="3"/>
  <c r="W403" i="3" a="1"/>
  <c r="W403" i="3"/>
  <c r="X402" i="3"/>
  <c r="W402" i="3" a="1"/>
  <c r="W402" i="3"/>
  <c r="X401" i="3"/>
  <c r="W401" i="3" a="1"/>
  <c r="W401" i="3"/>
  <c r="X400" i="3"/>
  <c r="W400" i="3" a="1"/>
  <c r="W400" i="3"/>
  <c r="X399" i="3"/>
  <c r="W399" i="3" a="1"/>
  <c r="W399" i="3"/>
  <c r="X398" i="3"/>
  <c r="W398" i="3" a="1"/>
  <c r="W398" i="3"/>
  <c r="X397" i="3"/>
  <c r="W397" i="3" a="1"/>
  <c r="W397" i="3"/>
  <c r="X396" i="3"/>
  <c r="W396" i="3" a="1"/>
  <c r="W396" i="3"/>
  <c r="X395" i="3"/>
  <c r="W395" i="3" a="1"/>
  <c r="W395" i="3"/>
  <c r="X394" i="3"/>
  <c r="W394" i="3" a="1"/>
  <c r="W394" i="3"/>
  <c r="X393" i="3"/>
  <c r="W393" i="3" a="1"/>
  <c r="W393" i="3"/>
  <c r="X392" i="3"/>
  <c r="W392" i="3" a="1"/>
  <c r="W392" i="3"/>
  <c r="X391" i="3"/>
  <c r="W391" i="3" a="1"/>
  <c r="W391" i="3"/>
  <c r="X390" i="3"/>
  <c r="W390" i="3" a="1"/>
  <c r="W390" i="3"/>
  <c r="X389" i="3"/>
  <c r="W389" i="3" a="1"/>
  <c r="W389" i="3"/>
  <c r="X388" i="3"/>
  <c r="W388" i="3" a="1"/>
  <c r="W388" i="3"/>
  <c r="X387" i="3"/>
  <c r="W387" i="3" a="1"/>
  <c r="W387" i="3"/>
  <c r="X386" i="3"/>
  <c r="W386" i="3" a="1"/>
  <c r="W386" i="3"/>
  <c r="X385" i="3"/>
  <c r="W385" i="3" a="1"/>
  <c r="W385" i="3"/>
  <c r="X384" i="3"/>
  <c r="W384" i="3" a="1"/>
  <c r="W384" i="3"/>
  <c r="X383" i="3"/>
  <c r="W383" i="3" a="1"/>
  <c r="W383" i="3"/>
  <c r="X382" i="3"/>
  <c r="W382" i="3" a="1"/>
  <c r="W382" i="3"/>
  <c r="X381" i="3"/>
  <c r="W381" i="3" a="1"/>
  <c r="W381" i="3"/>
  <c r="X380" i="3"/>
  <c r="W380" i="3" a="1"/>
  <c r="W380" i="3"/>
  <c r="X379" i="3"/>
  <c r="W379" i="3" a="1"/>
  <c r="W379" i="3"/>
  <c r="X378" i="3"/>
  <c r="W378" i="3" a="1"/>
  <c r="W378" i="3"/>
  <c r="X377" i="3"/>
  <c r="W377" i="3" a="1"/>
  <c r="W377" i="3"/>
  <c r="X376" i="3"/>
  <c r="W376" i="3" a="1"/>
  <c r="W376" i="3"/>
  <c r="X375" i="3"/>
  <c r="W375" i="3" a="1"/>
  <c r="W375" i="3"/>
  <c r="X374" i="3"/>
  <c r="W374" i="3" a="1"/>
  <c r="W374" i="3"/>
  <c r="X373" i="3"/>
  <c r="W373" i="3" a="1"/>
  <c r="W373" i="3"/>
  <c r="X372" i="3"/>
  <c r="W372" i="3" a="1"/>
  <c r="W372" i="3"/>
  <c r="X371" i="3"/>
  <c r="W371" i="3" a="1"/>
  <c r="W371" i="3"/>
  <c r="X370" i="3"/>
  <c r="W370" i="3" a="1"/>
  <c r="W370" i="3"/>
  <c r="X369" i="3"/>
  <c r="W369" i="3" a="1"/>
  <c r="W369" i="3"/>
  <c r="X368" i="3"/>
  <c r="W368" i="3" a="1"/>
  <c r="W368" i="3"/>
  <c r="X367" i="3"/>
  <c r="W367" i="3" a="1"/>
  <c r="W367" i="3"/>
  <c r="X366" i="3"/>
  <c r="W366" i="3" a="1"/>
  <c r="W366" i="3"/>
  <c r="X365" i="3"/>
  <c r="W365" i="3" a="1"/>
  <c r="W365" i="3"/>
  <c r="X364" i="3"/>
  <c r="W364" i="3" a="1"/>
  <c r="W364" i="3"/>
  <c r="X363" i="3"/>
  <c r="W363" i="3" a="1"/>
  <c r="W363" i="3"/>
  <c r="X362" i="3"/>
  <c r="W362" i="3" a="1"/>
  <c r="W362" i="3"/>
  <c r="X361" i="3"/>
  <c r="W361" i="3" a="1"/>
  <c r="W361" i="3"/>
  <c r="X360" i="3"/>
  <c r="W360" i="3" a="1"/>
  <c r="W360" i="3"/>
  <c r="X359" i="3"/>
  <c r="W359" i="3" a="1"/>
  <c r="W359" i="3"/>
  <c r="X358" i="3"/>
  <c r="W358" i="3" a="1"/>
  <c r="W358" i="3"/>
  <c r="X357" i="3"/>
  <c r="W357" i="3" a="1"/>
  <c r="W357" i="3"/>
  <c r="X356" i="3"/>
  <c r="W356" i="3" a="1"/>
  <c r="W356" i="3"/>
  <c r="X355" i="3"/>
  <c r="W355" i="3" a="1"/>
  <c r="W355" i="3"/>
  <c r="X354" i="3"/>
  <c r="W354" i="3" a="1"/>
  <c r="W354" i="3"/>
  <c r="X353" i="3"/>
  <c r="W353" i="3" a="1"/>
  <c r="W353" i="3"/>
  <c r="X352" i="3"/>
  <c r="W352" i="3" a="1"/>
  <c r="W352" i="3"/>
  <c r="X351" i="3"/>
  <c r="W351" i="3" a="1"/>
  <c r="W351" i="3"/>
  <c r="X350" i="3"/>
  <c r="W350" i="3" a="1"/>
  <c r="W350" i="3"/>
  <c r="X349" i="3"/>
  <c r="W349" i="3" a="1"/>
  <c r="W349" i="3"/>
  <c r="X348" i="3"/>
  <c r="W348" i="3" a="1"/>
  <c r="W348" i="3"/>
  <c r="X347" i="3"/>
  <c r="W347" i="3" a="1"/>
  <c r="W347" i="3"/>
  <c r="X346" i="3"/>
  <c r="W346" i="3" a="1"/>
  <c r="W346" i="3"/>
  <c r="X345" i="3"/>
  <c r="W345" i="3" a="1"/>
  <c r="W345" i="3"/>
  <c r="X344" i="3"/>
  <c r="W344" i="3" a="1"/>
  <c r="W344" i="3"/>
  <c r="X343" i="3"/>
  <c r="W343" i="3" a="1"/>
  <c r="W343" i="3"/>
  <c r="X342" i="3"/>
  <c r="W342" i="3" a="1"/>
  <c r="W342" i="3"/>
  <c r="X341" i="3"/>
  <c r="W341" i="3" a="1"/>
  <c r="W341" i="3"/>
  <c r="X340" i="3"/>
  <c r="W340" i="3" a="1"/>
  <c r="W340" i="3"/>
  <c r="X339" i="3"/>
  <c r="W339" i="3" a="1"/>
  <c r="W339" i="3"/>
  <c r="X338" i="3"/>
  <c r="W338" i="3" a="1"/>
  <c r="W338" i="3"/>
  <c r="X337" i="3"/>
  <c r="W337" i="3" a="1"/>
  <c r="W337" i="3"/>
  <c r="X336" i="3"/>
  <c r="W336" i="3" a="1"/>
  <c r="W336" i="3"/>
  <c r="X335" i="3"/>
  <c r="W335" i="3" a="1"/>
  <c r="W335" i="3"/>
  <c r="X334" i="3"/>
  <c r="W334" i="3" a="1"/>
  <c r="W334" i="3"/>
  <c r="X333" i="3"/>
  <c r="W333" i="3" a="1"/>
  <c r="W333" i="3"/>
  <c r="X332" i="3"/>
  <c r="W332" i="3" a="1"/>
  <c r="W332" i="3"/>
  <c r="X331" i="3"/>
  <c r="W331" i="3" a="1"/>
  <c r="W331" i="3"/>
  <c r="X330" i="3"/>
  <c r="W330" i="3" a="1"/>
  <c r="W330" i="3"/>
  <c r="X329" i="3"/>
  <c r="W329" i="3" a="1"/>
  <c r="W329" i="3"/>
  <c r="X328" i="3"/>
  <c r="W328" i="3" a="1"/>
  <c r="W328" i="3"/>
  <c r="X327" i="3"/>
  <c r="W327" i="3" a="1"/>
  <c r="W327" i="3"/>
  <c r="X326" i="3"/>
  <c r="W326" i="3" a="1"/>
  <c r="W326" i="3"/>
  <c r="X325" i="3"/>
  <c r="W325" i="3" a="1"/>
  <c r="W325" i="3"/>
  <c r="X324" i="3"/>
  <c r="W324" i="3" a="1"/>
  <c r="W324" i="3"/>
  <c r="X323" i="3"/>
  <c r="W323" i="3" a="1"/>
  <c r="W323" i="3"/>
  <c r="X322" i="3"/>
  <c r="W322" i="3" a="1"/>
  <c r="W322" i="3"/>
  <c r="X321" i="3"/>
  <c r="W321" i="3" a="1"/>
  <c r="W321" i="3"/>
  <c r="X320" i="3"/>
  <c r="W320" i="3" a="1"/>
  <c r="W320" i="3"/>
  <c r="X319" i="3"/>
  <c r="W319" i="3" a="1"/>
  <c r="W319" i="3"/>
  <c r="X318" i="3"/>
  <c r="W318" i="3" a="1"/>
  <c r="W318" i="3"/>
  <c r="X317" i="3"/>
  <c r="W317" i="3" a="1"/>
  <c r="W317" i="3"/>
  <c r="X316" i="3"/>
  <c r="W316" i="3" a="1"/>
  <c r="W316" i="3"/>
  <c r="X315" i="3"/>
  <c r="W315" i="3" a="1"/>
  <c r="W315" i="3"/>
  <c r="X314" i="3"/>
  <c r="W314" i="3" a="1"/>
  <c r="W314" i="3"/>
  <c r="X313" i="3"/>
  <c r="W313" i="3" a="1"/>
  <c r="W313" i="3"/>
  <c r="X312" i="3"/>
  <c r="W312" i="3" a="1"/>
  <c r="W312" i="3"/>
  <c r="X311" i="3"/>
  <c r="W311" i="3" a="1"/>
  <c r="W311" i="3"/>
  <c r="X310" i="3"/>
  <c r="W310" i="3" a="1"/>
  <c r="W310" i="3"/>
  <c r="X309" i="3"/>
  <c r="W309" i="3" a="1"/>
  <c r="W309" i="3"/>
  <c r="X308" i="3"/>
  <c r="W308" i="3" a="1"/>
  <c r="W308" i="3"/>
  <c r="X307" i="3"/>
  <c r="W307" i="3" a="1"/>
  <c r="W307" i="3"/>
  <c r="X306" i="3"/>
  <c r="W306" i="3" a="1"/>
  <c r="W306" i="3"/>
  <c r="X305" i="3"/>
  <c r="W305" i="3" a="1"/>
  <c r="W305" i="3"/>
  <c r="X304" i="3"/>
  <c r="W304" i="3" a="1"/>
  <c r="W304" i="3"/>
  <c r="X303" i="3"/>
  <c r="W303" i="3" a="1"/>
  <c r="W303" i="3"/>
  <c r="X302" i="3"/>
  <c r="W302" i="3" a="1"/>
  <c r="W302" i="3"/>
  <c r="X301" i="3"/>
  <c r="W301" i="3" a="1"/>
  <c r="W301" i="3"/>
  <c r="X300" i="3"/>
  <c r="W300" i="3" a="1"/>
  <c r="W300" i="3"/>
  <c r="X299" i="3"/>
  <c r="W299" i="3" a="1"/>
  <c r="W299" i="3"/>
  <c r="X298" i="3"/>
  <c r="W298" i="3" a="1"/>
  <c r="W298" i="3"/>
  <c r="X297" i="3"/>
  <c r="W297" i="3" a="1"/>
  <c r="W297" i="3"/>
  <c r="X296" i="3"/>
  <c r="W296" i="3" a="1"/>
  <c r="W296" i="3"/>
  <c r="X295" i="3"/>
  <c r="W295" i="3" a="1"/>
  <c r="W295" i="3"/>
  <c r="X294" i="3"/>
  <c r="W294" i="3" a="1"/>
  <c r="W294" i="3"/>
  <c r="X293" i="3"/>
  <c r="W293" i="3" a="1"/>
  <c r="W293" i="3"/>
  <c r="X292" i="3"/>
  <c r="W292" i="3" a="1"/>
  <c r="W292" i="3"/>
  <c r="X291" i="3"/>
  <c r="W291" i="3" a="1"/>
  <c r="W291" i="3"/>
  <c r="X290" i="3"/>
  <c r="W290" i="3" a="1"/>
  <c r="W290" i="3"/>
  <c r="X289" i="3"/>
  <c r="W289" i="3" a="1"/>
  <c r="W289" i="3"/>
  <c r="X288" i="3"/>
  <c r="W288" i="3" a="1"/>
  <c r="W288" i="3"/>
  <c r="X287" i="3"/>
  <c r="W287" i="3" a="1"/>
  <c r="W287" i="3"/>
  <c r="X286" i="3"/>
  <c r="W286" i="3" a="1"/>
  <c r="W286" i="3"/>
  <c r="X285" i="3"/>
  <c r="W285" i="3" a="1"/>
  <c r="W285" i="3"/>
  <c r="X284" i="3"/>
  <c r="W284" i="3" a="1"/>
  <c r="W284" i="3"/>
  <c r="X283" i="3"/>
  <c r="W283" i="3" a="1"/>
  <c r="W283" i="3"/>
  <c r="X282" i="3"/>
  <c r="W282" i="3" a="1"/>
  <c r="W282" i="3"/>
  <c r="X281" i="3"/>
  <c r="W281" i="3" a="1"/>
  <c r="W281" i="3"/>
  <c r="X280" i="3"/>
  <c r="W280" i="3" a="1"/>
  <c r="W280" i="3"/>
  <c r="X279" i="3"/>
  <c r="W279" i="3" a="1"/>
  <c r="W279" i="3"/>
  <c r="X278" i="3"/>
  <c r="W278" i="3" a="1"/>
  <c r="W278" i="3"/>
  <c r="X277" i="3"/>
  <c r="W277" i="3" a="1"/>
  <c r="W277" i="3"/>
  <c r="X276" i="3"/>
  <c r="W276" i="3" a="1"/>
  <c r="W276" i="3"/>
  <c r="X275" i="3"/>
  <c r="W275" i="3" a="1"/>
  <c r="W275" i="3"/>
  <c r="X274" i="3"/>
  <c r="W274" i="3" a="1"/>
  <c r="W274" i="3"/>
  <c r="X273" i="3"/>
  <c r="W273" i="3" a="1"/>
  <c r="W273" i="3"/>
  <c r="X272" i="3"/>
  <c r="W272" i="3" a="1"/>
  <c r="W272" i="3"/>
  <c r="X271" i="3"/>
  <c r="W271" i="3" a="1"/>
  <c r="W271" i="3"/>
  <c r="X270" i="3"/>
  <c r="W270" i="3" a="1"/>
  <c r="W270" i="3"/>
  <c r="X269" i="3"/>
  <c r="W269" i="3" a="1"/>
  <c r="W269" i="3"/>
  <c r="X268" i="3"/>
  <c r="W268" i="3" a="1"/>
  <c r="W268" i="3"/>
  <c r="X267" i="3"/>
  <c r="W267" i="3" a="1"/>
  <c r="W267" i="3"/>
  <c r="X266" i="3"/>
  <c r="W266" i="3" a="1"/>
  <c r="W266" i="3"/>
  <c r="X265" i="3"/>
  <c r="W265" i="3" a="1"/>
  <c r="W265" i="3"/>
  <c r="X264" i="3"/>
  <c r="W264" i="3" a="1"/>
  <c r="W264" i="3"/>
  <c r="X263" i="3"/>
  <c r="W263" i="3" a="1"/>
  <c r="W263" i="3"/>
  <c r="X262" i="3"/>
  <c r="W262" i="3" a="1"/>
  <c r="W262" i="3"/>
  <c r="X261" i="3"/>
  <c r="W261" i="3" a="1"/>
  <c r="W261" i="3"/>
  <c r="X260" i="3"/>
  <c r="W260" i="3" a="1"/>
  <c r="W260" i="3"/>
  <c r="X259" i="3"/>
  <c r="W259" i="3" a="1"/>
  <c r="W259" i="3"/>
  <c r="X258" i="3"/>
  <c r="W258" i="3" a="1"/>
  <c r="W258" i="3"/>
  <c r="X257" i="3"/>
  <c r="W257" i="3" a="1"/>
  <c r="W257" i="3"/>
  <c r="X256" i="3"/>
  <c r="W256" i="3" a="1"/>
  <c r="W256" i="3"/>
  <c r="X255" i="3"/>
  <c r="W255" i="3" a="1"/>
  <c r="W255" i="3"/>
  <c r="X254" i="3"/>
  <c r="W254" i="3" a="1"/>
  <c r="W254" i="3"/>
  <c r="X253" i="3"/>
  <c r="W253" i="3" a="1"/>
  <c r="W253" i="3"/>
  <c r="X252" i="3"/>
  <c r="W252" i="3" a="1"/>
  <c r="W252" i="3"/>
  <c r="X251" i="3"/>
  <c r="W251" i="3" a="1"/>
  <c r="W251" i="3"/>
  <c r="X250" i="3"/>
  <c r="W250" i="3" a="1"/>
  <c r="W250" i="3"/>
  <c r="X249" i="3"/>
  <c r="W249" i="3" a="1"/>
  <c r="W249" i="3"/>
  <c r="X248" i="3"/>
  <c r="W248" i="3" a="1"/>
  <c r="W248" i="3"/>
  <c r="X247" i="3"/>
  <c r="W247" i="3" a="1"/>
  <c r="W247" i="3"/>
  <c r="X246" i="3"/>
  <c r="W246" i="3" a="1"/>
  <c r="W246" i="3"/>
  <c r="X245" i="3"/>
  <c r="W245" i="3" a="1"/>
  <c r="W245" i="3"/>
  <c r="X244" i="3"/>
  <c r="W244" i="3" a="1"/>
  <c r="W244" i="3"/>
  <c r="X243" i="3"/>
  <c r="W243" i="3" a="1"/>
  <c r="W243" i="3"/>
  <c r="X242" i="3"/>
  <c r="W242" i="3" a="1"/>
  <c r="W242" i="3"/>
  <c r="X241" i="3"/>
  <c r="W241" i="3" a="1"/>
  <c r="W241" i="3"/>
  <c r="X240" i="3"/>
  <c r="W240" i="3" a="1"/>
  <c r="W240" i="3"/>
  <c r="X239" i="3"/>
  <c r="W239" i="3" a="1"/>
  <c r="W239" i="3"/>
  <c r="X238" i="3"/>
  <c r="W238" i="3" a="1"/>
  <c r="W238" i="3"/>
  <c r="X237" i="3"/>
  <c r="W237" i="3" a="1"/>
  <c r="W237" i="3"/>
  <c r="X236" i="3"/>
  <c r="W236" i="3" a="1"/>
  <c r="W236" i="3"/>
  <c r="X235" i="3"/>
  <c r="W235" i="3" a="1"/>
  <c r="W235" i="3"/>
  <c r="X234" i="3"/>
  <c r="W234" i="3" a="1"/>
  <c r="W234" i="3"/>
  <c r="X233" i="3"/>
  <c r="W233" i="3" a="1"/>
  <c r="W233" i="3"/>
  <c r="X232" i="3"/>
  <c r="W232" i="3" a="1"/>
  <c r="W232" i="3"/>
  <c r="X231" i="3"/>
  <c r="W231" i="3" a="1"/>
  <c r="W231" i="3"/>
  <c r="X230" i="3"/>
  <c r="W230" i="3" a="1"/>
  <c r="W230" i="3"/>
  <c r="X229" i="3"/>
  <c r="W229" i="3" a="1"/>
  <c r="W229" i="3"/>
  <c r="X228" i="3"/>
  <c r="W228" i="3" a="1"/>
  <c r="W228" i="3"/>
  <c r="X227" i="3"/>
  <c r="W227" i="3" a="1"/>
  <c r="W227" i="3"/>
  <c r="X226" i="3"/>
  <c r="W226" i="3" a="1"/>
  <c r="W226" i="3"/>
  <c r="X225" i="3"/>
  <c r="W225" i="3" a="1"/>
  <c r="W225" i="3"/>
  <c r="X224" i="3"/>
  <c r="W224" i="3" a="1"/>
  <c r="W224" i="3"/>
  <c r="X223" i="3"/>
  <c r="W223" i="3" a="1"/>
  <c r="W223" i="3"/>
  <c r="X222" i="3"/>
  <c r="W222" i="3" a="1"/>
  <c r="W222" i="3"/>
  <c r="X221" i="3"/>
  <c r="W221" i="3" a="1"/>
  <c r="W221" i="3"/>
  <c r="X220" i="3"/>
  <c r="W220" i="3" a="1"/>
  <c r="W220" i="3"/>
  <c r="X219" i="3"/>
  <c r="W219" i="3" a="1"/>
  <c r="W219" i="3"/>
  <c r="X218" i="3"/>
  <c r="W218" i="3" a="1"/>
  <c r="W218" i="3"/>
  <c r="X217" i="3"/>
  <c r="W217" i="3" a="1"/>
  <c r="W217" i="3"/>
  <c r="X216" i="3"/>
  <c r="W216" i="3" a="1"/>
  <c r="W216" i="3"/>
  <c r="X215" i="3"/>
  <c r="W215" i="3" a="1"/>
  <c r="W215" i="3"/>
  <c r="X214" i="3"/>
  <c r="W214" i="3" a="1"/>
  <c r="W214" i="3"/>
  <c r="X213" i="3"/>
  <c r="W213" i="3" a="1"/>
  <c r="W213" i="3"/>
  <c r="X212" i="3"/>
  <c r="W212" i="3" a="1"/>
  <c r="W212" i="3"/>
  <c r="X211" i="3"/>
  <c r="W211" i="3" a="1"/>
  <c r="W211" i="3"/>
  <c r="X210" i="3"/>
  <c r="W210" i="3" a="1"/>
  <c r="W210" i="3"/>
  <c r="X209" i="3"/>
  <c r="W209" i="3" a="1"/>
  <c r="W209" i="3"/>
  <c r="X208" i="3"/>
  <c r="W208" i="3" a="1"/>
  <c r="W208" i="3"/>
  <c r="X207" i="3"/>
  <c r="W207" i="3" a="1"/>
  <c r="W207" i="3"/>
  <c r="X206" i="3"/>
  <c r="W206" i="3" a="1"/>
  <c r="W206" i="3"/>
  <c r="X205" i="3"/>
  <c r="W205" i="3" a="1"/>
  <c r="W205" i="3"/>
  <c r="X204" i="3"/>
  <c r="W204" i="3" a="1"/>
  <c r="W204" i="3"/>
  <c r="X203" i="3"/>
  <c r="W203" i="3" a="1"/>
  <c r="W203" i="3"/>
  <c r="X202" i="3"/>
  <c r="W202" i="3" a="1"/>
  <c r="W202" i="3"/>
  <c r="X201" i="3"/>
  <c r="W201" i="3" a="1"/>
  <c r="W201" i="3"/>
  <c r="X200" i="3"/>
  <c r="W200" i="3" a="1"/>
  <c r="W200" i="3"/>
  <c r="X199" i="3"/>
  <c r="W199" i="3" a="1"/>
  <c r="W199" i="3"/>
  <c r="X198" i="3"/>
  <c r="W198" i="3" a="1"/>
  <c r="W198" i="3"/>
  <c r="X197" i="3"/>
  <c r="W197" i="3" a="1"/>
  <c r="W197" i="3"/>
  <c r="X196" i="3"/>
  <c r="W196" i="3" a="1"/>
  <c r="W196" i="3"/>
  <c r="X195" i="3"/>
  <c r="W195" i="3" a="1"/>
  <c r="W195" i="3"/>
  <c r="X194" i="3"/>
  <c r="W194" i="3" a="1"/>
  <c r="W194" i="3"/>
  <c r="X193" i="3"/>
  <c r="W193" i="3" a="1"/>
  <c r="W193" i="3"/>
  <c r="X192" i="3"/>
  <c r="W192" i="3" a="1"/>
  <c r="W192" i="3"/>
  <c r="X191" i="3"/>
  <c r="W191" i="3" a="1"/>
  <c r="W191" i="3"/>
  <c r="X190" i="3"/>
  <c r="W190" i="3" a="1"/>
  <c r="W190" i="3"/>
  <c r="X189" i="3"/>
  <c r="W189" i="3" a="1"/>
  <c r="W189" i="3"/>
  <c r="X188" i="3"/>
  <c r="W188" i="3" a="1"/>
  <c r="W188" i="3"/>
  <c r="X187" i="3"/>
  <c r="W187" i="3" a="1"/>
  <c r="W187" i="3"/>
  <c r="X186" i="3"/>
  <c r="W186" i="3" a="1"/>
  <c r="W186" i="3"/>
  <c r="X185" i="3"/>
  <c r="W185" i="3" a="1"/>
  <c r="W185" i="3"/>
  <c r="X184" i="3"/>
  <c r="W184" i="3" a="1"/>
  <c r="W184" i="3"/>
  <c r="X183" i="3"/>
  <c r="W183" i="3" a="1"/>
  <c r="W183" i="3"/>
  <c r="X182" i="3"/>
  <c r="W182" i="3" a="1"/>
  <c r="W182" i="3"/>
  <c r="X181" i="3"/>
  <c r="W181" i="3" a="1"/>
  <c r="W181" i="3"/>
  <c r="X180" i="3"/>
  <c r="W180" i="3" a="1"/>
  <c r="W180" i="3"/>
  <c r="X179" i="3"/>
  <c r="W179" i="3" a="1"/>
  <c r="W179" i="3"/>
  <c r="X178" i="3"/>
  <c r="W178" i="3" a="1"/>
  <c r="W178" i="3"/>
  <c r="X177" i="3"/>
  <c r="W177" i="3" a="1"/>
  <c r="W177" i="3"/>
  <c r="X176" i="3"/>
  <c r="W176" i="3" a="1"/>
  <c r="W176" i="3"/>
  <c r="X175" i="3"/>
  <c r="W175" i="3" a="1"/>
  <c r="W175" i="3"/>
  <c r="X174" i="3"/>
  <c r="W174" i="3" a="1"/>
  <c r="W174" i="3"/>
  <c r="X173" i="3"/>
  <c r="W173" i="3" a="1"/>
  <c r="W173" i="3"/>
  <c r="X172" i="3"/>
  <c r="W172" i="3" a="1"/>
  <c r="W172" i="3"/>
  <c r="X171" i="3"/>
  <c r="W171" i="3" a="1"/>
  <c r="W171" i="3"/>
  <c r="X170" i="3"/>
  <c r="W170" i="3" a="1"/>
  <c r="W170" i="3"/>
  <c r="X169" i="3"/>
  <c r="W169" i="3" a="1"/>
  <c r="W169" i="3"/>
  <c r="X168" i="3"/>
  <c r="W168" i="3" a="1"/>
  <c r="W168" i="3"/>
  <c r="X167" i="3"/>
  <c r="W167" i="3" a="1"/>
  <c r="W167" i="3"/>
  <c r="X166" i="3"/>
  <c r="W166" i="3" a="1"/>
  <c r="W166" i="3"/>
  <c r="X165" i="3"/>
  <c r="W165" i="3" a="1"/>
  <c r="W165" i="3"/>
  <c r="X164" i="3"/>
  <c r="W164" i="3" a="1"/>
  <c r="W164" i="3"/>
  <c r="X163" i="3"/>
  <c r="W163" i="3" a="1"/>
  <c r="W163" i="3"/>
  <c r="X162" i="3"/>
  <c r="W162" i="3" a="1"/>
  <c r="W162" i="3"/>
  <c r="X161" i="3"/>
  <c r="W161" i="3" a="1"/>
  <c r="W161" i="3"/>
  <c r="X160" i="3"/>
  <c r="W160" i="3" a="1"/>
  <c r="W160" i="3"/>
  <c r="X159" i="3"/>
  <c r="W159" i="3" a="1"/>
  <c r="W159" i="3"/>
  <c r="X158" i="3"/>
  <c r="W158" i="3" a="1"/>
  <c r="W158" i="3"/>
  <c r="X157" i="3"/>
  <c r="W157" i="3" a="1"/>
  <c r="W157" i="3"/>
  <c r="X156" i="3"/>
  <c r="W156" i="3" a="1"/>
  <c r="W156" i="3"/>
  <c r="X155" i="3"/>
  <c r="W155" i="3" a="1"/>
  <c r="W155" i="3"/>
  <c r="X154" i="3"/>
  <c r="W154" i="3" a="1"/>
  <c r="W154" i="3"/>
  <c r="X153" i="3"/>
  <c r="W153" i="3" a="1"/>
  <c r="W153" i="3"/>
  <c r="X152" i="3"/>
  <c r="W152" i="3" a="1"/>
  <c r="W152" i="3"/>
  <c r="X151" i="3"/>
  <c r="W151" i="3" a="1"/>
  <c r="W151" i="3"/>
  <c r="X150" i="3"/>
  <c r="W150" i="3" a="1"/>
  <c r="W150" i="3"/>
  <c r="X149" i="3"/>
  <c r="W149" i="3" a="1"/>
  <c r="W149" i="3"/>
  <c r="X148" i="3"/>
  <c r="W148" i="3" a="1"/>
  <c r="W148" i="3"/>
  <c r="X147" i="3"/>
  <c r="W147" i="3" a="1"/>
  <c r="W147" i="3"/>
  <c r="X146" i="3"/>
  <c r="W146" i="3" a="1"/>
  <c r="W146" i="3"/>
  <c r="X145" i="3"/>
  <c r="W145" i="3" a="1"/>
  <c r="W145" i="3"/>
  <c r="X144" i="3"/>
  <c r="W144" i="3" a="1"/>
  <c r="W144" i="3"/>
  <c r="X143" i="3"/>
  <c r="W143" i="3" a="1"/>
  <c r="W143" i="3"/>
  <c r="X142" i="3"/>
  <c r="W142" i="3" a="1"/>
  <c r="W142" i="3"/>
  <c r="X141" i="3"/>
  <c r="W141" i="3" a="1"/>
  <c r="W141" i="3"/>
  <c r="X140" i="3"/>
  <c r="W140" i="3" a="1"/>
  <c r="W140" i="3"/>
  <c r="X139" i="3"/>
  <c r="W139" i="3" a="1"/>
  <c r="W139" i="3"/>
  <c r="X138" i="3"/>
  <c r="W138" i="3" a="1"/>
  <c r="W138" i="3"/>
  <c r="X137" i="3"/>
  <c r="W137" i="3" a="1"/>
  <c r="W137" i="3"/>
  <c r="X136" i="3"/>
  <c r="W136" i="3" a="1"/>
  <c r="W136" i="3"/>
  <c r="X135" i="3"/>
  <c r="W135" i="3" a="1"/>
  <c r="W135" i="3"/>
  <c r="X134" i="3"/>
  <c r="W134" i="3" a="1"/>
  <c r="W134" i="3"/>
  <c r="X133" i="3"/>
  <c r="W133" i="3" a="1"/>
  <c r="W133" i="3"/>
  <c r="X132" i="3"/>
  <c r="W132" i="3" a="1"/>
  <c r="W132" i="3"/>
  <c r="X131" i="3"/>
  <c r="W131" i="3" a="1"/>
  <c r="W131" i="3"/>
  <c r="X130" i="3"/>
  <c r="W130" i="3" a="1"/>
  <c r="W130" i="3"/>
  <c r="X129" i="3"/>
  <c r="W129" i="3" a="1"/>
  <c r="W129" i="3"/>
  <c r="X128" i="3"/>
  <c r="W128" i="3" a="1"/>
  <c r="W128" i="3"/>
  <c r="X127" i="3"/>
  <c r="W127" i="3" a="1"/>
  <c r="W127" i="3"/>
  <c r="X126" i="3"/>
  <c r="W126" i="3" a="1"/>
  <c r="W126" i="3"/>
  <c r="X125" i="3"/>
  <c r="W125" i="3" a="1"/>
  <c r="W125" i="3"/>
  <c r="X124" i="3"/>
  <c r="W124" i="3" a="1"/>
  <c r="W124" i="3"/>
  <c r="X123" i="3"/>
  <c r="W123" i="3" a="1"/>
  <c r="W123" i="3"/>
  <c r="X122" i="3"/>
  <c r="W122" i="3" a="1"/>
  <c r="W122" i="3"/>
  <c r="X121" i="3"/>
  <c r="W121" i="3" a="1"/>
  <c r="W121" i="3"/>
  <c r="X120" i="3"/>
  <c r="W120" i="3" a="1"/>
  <c r="W120" i="3"/>
  <c r="X119" i="3"/>
  <c r="W119" i="3" a="1"/>
  <c r="W119" i="3"/>
  <c r="X118" i="3"/>
  <c r="W118" i="3" a="1"/>
  <c r="W118" i="3"/>
  <c r="X117" i="3"/>
  <c r="W117" i="3" a="1"/>
  <c r="W117" i="3"/>
  <c r="X116" i="3"/>
  <c r="W116" i="3" a="1"/>
  <c r="W116" i="3"/>
  <c r="X115" i="3"/>
  <c r="W115" i="3" a="1"/>
  <c r="W115" i="3"/>
  <c r="X114" i="3"/>
  <c r="W114" i="3" a="1"/>
  <c r="W114" i="3"/>
  <c r="X113" i="3"/>
  <c r="W113" i="3" a="1"/>
  <c r="W113" i="3"/>
  <c r="X112" i="3"/>
  <c r="W112" i="3" a="1"/>
  <c r="W112" i="3"/>
  <c r="X111" i="3"/>
  <c r="W111" i="3" a="1"/>
  <c r="W111" i="3"/>
  <c r="X110" i="3"/>
  <c r="W110" i="3" a="1"/>
  <c r="W110" i="3"/>
  <c r="X109" i="3"/>
  <c r="W109" i="3" a="1"/>
  <c r="W109" i="3"/>
  <c r="X108" i="3"/>
  <c r="W108" i="3" a="1"/>
  <c r="W108" i="3"/>
  <c r="X107" i="3"/>
  <c r="W107" i="3" a="1"/>
  <c r="W107" i="3"/>
  <c r="X106" i="3"/>
  <c r="W106" i="3" a="1"/>
  <c r="W106" i="3"/>
  <c r="X105" i="3"/>
  <c r="W105" i="3" a="1"/>
  <c r="W105" i="3"/>
  <c r="X104" i="3"/>
  <c r="W104" i="3" a="1"/>
  <c r="W104" i="3"/>
  <c r="X103" i="3"/>
  <c r="W103" i="3" a="1"/>
  <c r="W103" i="3"/>
  <c r="X102" i="3"/>
  <c r="W102" i="3" a="1"/>
  <c r="W102" i="3"/>
  <c r="X101" i="3"/>
  <c r="W101" i="3" a="1"/>
  <c r="W101" i="3"/>
  <c r="X100" i="3"/>
  <c r="W100" i="3" a="1"/>
  <c r="W100" i="3"/>
  <c r="X99" i="3"/>
  <c r="W99" i="3" a="1"/>
  <c r="W99" i="3"/>
  <c r="X98" i="3"/>
  <c r="W98" i="3" a="1"/>
  <c r="W98" i="3"/>
  <c r="X97" i="3"/>
  <c r="W97" i="3" a="1"/>
  <c r="W97" i="3"/>
  <c r="X96" i="3"/>
  <c r="W96" i="3" a="1"/>
  <c r="W96" i="3"/>
  <c r="X95" i="3"/>
  <c r="W95" i="3" a="1"/>
  <c r="W95" i="3"/>
  <c r="X94" i="3"/>
  <c r="W94" i="3" a="1"/>
  <c r="W94" i="3"/>
  <c r="X93" i="3"/>
  <c r="W93" i="3" a="1"/>
  <c r="W93" i="3"/>
  <c r="X92" i="3"/>
  <c r="W92" i="3" a="1"/>
  <c r="W92" i="3"/>
  <c r="X91" i="3"/>
  <c r="W91" i="3" a="1"/>
  <c r="W91" i="3"/>
  <c r="X90" i="3"/>
  <c r="W90" i="3" a="1"/>
  <c r="W90" i="3"/>
  <c r="X89" i="3"/>
  <c r="W89" i="3" a="1"/>
  <c r="W89" i="3"/>
  <c r="X88" i="3"/>
  <c r="W88" i="3" a="1"/>
  <c r="W88" i="3"/>
  <c r="X87" i="3"/>
  <c r="W87" i="3" a="1"/>
  <c r="W87" i="3"/>
  <c r="X86" i="3"/>
  <c r="W86" i="3" a="1"/>
  <c r="W86" i="3"/>
  <c r="X85" i="3"/>
  <c r="W85" i="3" a="1"/>
  <c r="W85" i="3"/>
  <c r="X84" i="3"/>
  <c r="W84" i="3" a="1"/>
  <c r="W84" i="3"/>
  <c r="X83" i="3"/>
  <c r="W83" i="3" a="1"/>
  <c r="W83" i="3"/>
  <c r="X82" i="3"/>
  <c r="W82" i="3" a="1"/>
  <c r="W82" i="3"/>
  <c r="X81" i="3"/>
  <c r="W81" i="3" a="1"/>
  <c r="W81" i="3"/>
  <c r="X80" i="3"/>
  <c r="W80" i="3" a="1"/>
  <c r="W80" i="3"/>
  <c r="X79" i="3"/>
  <c r="W79" i="3" a="1"/>
  <c r="W79" i="3"/>
  <c r="X78" i="3"/>
  <c r="W78" i="3" a="1"/>
  <c r="W78" i="3"/>
  <c r="X77" i="3"/>
  <c r="W77" i="3" a="1"/>
  <c r="W77" i="3"/>
  <c r="X76" i="3"/>
  <c r="W76" i="3" a="1"/>
  <c r="W76" i="3"/>
  <c r="X75" i="3"/>
  <c r="W75" i="3" a="1"/>
  <c r="W75" i="3"/>
  <c r="X74" i="3"/>
  <c r="W74" i="3" a="1"/>
  <c r="W74" i="3"/>
  <c r="X73" i="3"/>
  <c r="W73" i="3" a="1"/>
  <c r="W73" i="3"/>
  <c r="X72" i="3"/>
  <c r="W72" i="3" a="1"/>
  <c r="W72" i="3"/>
  <c r="X71" i="3"/>
  <c r="W71" i="3" a="1"/>
  <c r="W71" i="3"/>
  <c r="X70" i="3"/>
  <c r="W70" i="3" a="1"/>
  <c r="W70" i="3"/>
  <c r="X69" i="3"/>
  <c r="W69" i="3" a="1"/>
  <c r="W69" i="3"/>
  <c r="X68" i="3"/>
  <c r="W68" i="3" a="1"/>
  <c r="W68" i="3"/>
  <c r="X67" i="3"/>
  <c r="W67" i="3" a="1"/>
  <c r="W67" i="3"/>
  <c r="X66" i="3"/>
  <c r="W66" i="3" a="1"/>
  <c r="W66" i="3"/>
  <c r="X65" i="3"/>
  <c r="W65" i="3" a="1"/>
  <c r="W65" i="3"/>
  <c r="X64" i="3"/>
  <c r="W64" i="3" a="1"/>
  <c r="W64" i="3"/>
  <c r="X63" i="3"/>
  <c r="W63" i="3" a="1"/>
  <c r="W63" i="3"/>
  <c r="X62" i="3"/>
  <c r="W62" i="3" a="1"/>
  <c r="W62" i="3"/>
  <c r="X61" i="3"/>
  <c r="W61" i="3" a="1"/>
  <c r="W61" i="3"/>
  <c r="X60" i="3"/>
  <c r="W60" i="3" a="1"/>
  <c r="W60" i="3"/>
  <c r="X59" i="3"/>
  <c r="W59" i="3" a="1"/>
  <c r="W59" i="3"/>
  <c r="X58" i="3"/>
  <c r="W58" i="3" a="1"/>
  <c r="W58" i="3"/>
  <c r="X57" i="3"/>
  <c r="W57" i="3" a="1"/>
  <c r="W57" i="3"/>
  <c r="X56" i="3"/>
  <c r="W56" i="3" a="1"/>
  <c r="W56" i="3"/>
  <c r="X55" i="3"/>
  <c r="W55" i="3" a="1"/>
  <c r="W55" i="3"/>
  <c r="X54" i="3"/>
  <c r="W54" i="3" a="1"/>
  <c r="W54" i="3"/>
  <c r="X53" i="3"/>
  <c r="W53" i="3" a="1"/>
  <c r="W53" i="3"/>
  <c r="X52" i="3"/>
  <c r="W52" i="3" a="1"/>
  <c r="W52" i="3"/>
  <c r="X51" i="3"/>
  <c r="W51" i="3" a="1"/>
  <c r="W51" i="3"/>
  <c r="X50" i="3"/>
  <c r="W50" i="3" a="1"/>
  <c r="W50" i="3"/>
  <c r="X49" i="3"/>
  <c r="W49" i="3" a="1"/>
  <c r="W49" i="3"/>
  <c r="X48" i="3"/>
  <c r="W48" i="3" a="1"/>
  <c r="W48" i="3"/>
  <c r="X47" i="3"/>
  <c r="W47" i="3" a="1"/>
  <c r="W47" i="3"/>
  <c r="X46" i="3"/>
  <c r="W46" i="3" a="1"/>
  <c r="W46" i="3"/>
  <c r="X45" i="3"/>
  <c r="W45" i="3" a="1"/>
  <c r="W45" i="3"/>
  <c r="X44" i="3"/>
  <c r="W44" i="3" a="1"/>
  <c r="W44" i="3"/>
  <c r="X43" i="3"/>
  <c r="W43" i="3" a="1"/>
  <c r="W43" i="3"/>
  <c r="X42" i="3"/>
  <c r="W42" i="3" a="1"/>
  <c r="W42" i="3"/>
  <c r="X41" i="3"/>
  <c r="W41" i="3" a="1"/>
  <c r="W41" i="3"/>
  <c r="X40" i="3"/>
  <c r="W40" i="3" a="1"/>
  <c r="W40" i="3"/>
  <c r="X39" i="3"/>
  <c r="W39" i="3" a="1"/>
  <c r="W39" i="3"/>
  <c r="X38" i="3"/>
  <c r="W38" i="3" a="1"/>
  <c r="W38" i="3"/>
  <c r="X37" i="3"/>
  <c r="W37" i="3" a="1"/>
  <c r="W37" i="3"/>
  <c r="X36" i="3"/>
  <c r="W36" i="3" a="1"/>
  <c r="W36" i="3"/>
  <c r="X35" i="3"/>
  <c r="W35" i="3" a="1"/>
  <c r="W35" i="3"/>
  <c r="X34" i="3"/>
  <c r="W34" i="3" a="1"/>
  <c r="W34" i="3"/>
  <c r="X33" i="3"/>
  <c r="W33" i="3" a="1"/>
  <c r="W33" i="3"/>
  <c r="X32" i="3"/>
  <c r="W32" i="3" a="1"/>
  <c r="W32" i="3"/>
  <c r="X31" i="3"/>
  <c r="W31" i="3" a="1"/>
  <c r="W31" i="3"/>
  <c r="X30" i="3"/>
  <c r="W30" i="3" a="1"/>
  <c r="W30" i="3"/>
  <c r="X29" i="3"/>
  <c r="W29" i="3" a="1"/>
  <c r="W29" i="3"/>
  <c r="X28" i="3"/>
  <c r="W28" i="3" a="1"/>
  <c r="W28" i="3"/>
  <c r="X27" i="3"/>
  <c r="W27" i="3" a="1"/>
  <c r="W27" i="3"/>
  <c r="X26" i="3"/>
  <c r="W26" i="3" a="1"/>
  <c r="W26" i="3"/>
  <c r="X25" i="3"/>
  <c r="W25" i="3" a="1"/>
  <c r="W25" i="3"/>
  <c r="X24" i="3"/>
  <c r="W24" i="3" a="1"/>
  <c r="W24" i="3"/>
  <c r="X23" i="3"/>
  <c r="W23" i="3" a="1"/>
  <c r="W23" i="3"/>
  <c r="X22" i="3"/>
  <c r="W22" i="3" a="1"/>
  <c r="W22" i="3"/>
  <c r="X21" i="3"/>
  <c r="W21" i="3" a="1"/>
  <c r="W21" i="3"/>
  <c r="X20" i="3"/>
  <c r="W20" i="3" a="1"/>
  <c r="W20" i="3"/>
  <c r="X19" i="3"/>
  <c r="W19" i="3" a="1"/>
  <c r="W19" i="3"/>
  <c r="X18" i="3"/>
  <c r="W18" i="3" a="1"/>
  <c r="W18" i="3"/>
  <c r="X17" i="3"/>
  <c r="W17" i="3" a="1"/>
  <c r="W17" i="3"/>
  <c r="X16" i="3"/>
  <c r="W16" i="3" a="1"/>
  <c r="W16" i="3"/>
  <c r="X15" i="3"/>
  <c r="W15" i="3" a="1"/>
  <c r="W15" i="3"/>
  <c r="X14" i="3"/>
  <c r="W14" i="3" a="1"/>
  <c r="W14" i="3"/>
  <c r="X13" i="3"/>
  <c r="W13" i="3" a="1"/>
  <c r="W13" i="3"/>
  <c r="X12" i="3"/>
  <c r="W12" i="3" a="1"/>
  <c r="W12" i="3"/>
  <c r="X11" i="3"/>
  <c r="W11" i="3" a="1"/>
  <c r="W11" i="3"/>
  <c r="X10" i="3"/>
  <c r="W10" i="3" a="1"/>
  <c r="W10" i="3"/>
  <c r="X9" i="3"/>
  <c r="W9" i="3" a="1"/>
  <c r="W9" i="3"/>
  <c r="X8" i="3"/>
  <c r="W8" i="3" a="1"/>
  <c r="W8" i="3"/>
  <c r="X7" i="3"/>
  <c r="W7" i="3" a="1"/>
  <c r="W7" i="3"/>
  <c r="X6" i="3"/>
  <c r="W6" i="3" a="1"/>
  <c r="W6" i="3"/>
  <c r="X5" i="3"/>
  <c r="W5" i="3" a="1"/>
  <c r="W5" i="3"/>
  <c r="X4" i="3"/>
  <c r="W4" i="3" a="1"/>
  <c r="W4" i="3"/>
  <c r="X3" i="3"/>
  <c r="W3" i="3" a="1"/>
  <c r="W3" i="3"/>
  <c r="A2" i="3"/>
  <c r="X2" i="3" l="1"/>
  <c r="W2" i="3" a="1"/>
  <c r="W2" i="3" s="1"/>
  <c r="X2" i="6"/>
  <c r="W2" i="6" a="1"/>
  <c r="W2" i="6" s="1"/>
  <c r="V3" i="9"/>
  <c r="T3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S1" authorId="0" shapeId="0" xr:uid="{00000000-0006-0000-0200-000001000000}">
      <text>
        <r>
          <rPr>
            <sz val="10"/>
            <color rgb="FF000000"/>
            <rFont val="Arial"/>
            <scheme val="minor"/>
          </rPr>
          <t>Tiempo de eliminación de BB desde la notif OEVBB hasta el cierre de la inv. sin contar el tiempo de espera.</t>
        </r>
      </text>
    </comment>
    <comment ref="Q52" authorId="0" shapeId="0" xr:uid="{00000000-0006-0000-0200-000002000000}">
      <text>
        <r>
          <rPr>
            <sz val="10"/>
            <color rgb="FF000000"/>
            <rFont val="Arial"/>
            <scheme val="minor"/>
          </rPr>
          <t>Antes decia 358</t>
        </r>
      </text>
    </comment>
    <comment ref="B74" authorId="0" shapeId="0" xr:uid="{00000000-0006-0000-0200-000003000000}">
      <text>
        <r>
          <rPr>
            <sz val="10"/>
            <color rgb="FF000000"/>
            <rFont val="Arial"/>
            <scheme val="minor"/>
          </rPr>
          <t xml:space="preserve">no fue costeada en el 2019 - se reporto en febrero 2020 y aun asi no fue costeada
</t>
        </r>
      </text>
    </comment>
    <comment ref="A107" authorId="0" shapeId="0" xr:uid="{00000000-0006-0000-0200-000004000000}">
      <text>
        <r>
          <rPr>
            <sz val="10"/>
            <color rgb="FF000000"/>
            <rFont val="Arial"/>
            <scheme val="minor"/>
          </rPr>
          <t>Investigación por realizar cuantificación</t>
        </r>
      </text>
    </comment>
    <comment ref="K128" authorId="0" shapeId="0" xr:uid="{00000000-0006-0000-0200-000005000000}">
      <text>
        <r>
          <rPr>
            <sz val="10"/>
            <color rgb="FF000000"/>
            <rFont val="Arial"/>
            <scheme val="minor"/>
          </rPr>
          <t>200-2021/INDECOPI-SRB</t>
        </r>
      </text>
    </comment>
    <comment ref="A133" authorId="0" shapeId="0" xr:uid="{00000000-0006-0000-0200-000006000000}">
      <text>
        <r>
          <rPr>
            <sz val="10"/>
            <color rgb="FF000000"/>
            <rFont val="Arial"/>
            <scheme val="minor"/>
          </rPr>
          <t>Investigación por cuantificar</t>
        </r>
      </text>
    </comment>
    <comment ref="B134" authorId="0" shapeId="0" xr:uid="{00000000-0006-0000-0200-000007000000}">
      <text>
        <r>
          <rPr>
            <sz val="10"/>
            <color rgb="FF000000"/>
            <rFont val="Arial"/>
            <scheme val="minor"/>
          </rPr>
          <t>municipalidad provincial de la unión - 
cotahuasi</t>
        </r>
      </text>
    </comment>
    <comment ref="K139" authorId="0" shapeId="0" xr:uid="{00000000-0006-0000-0200-000008000000}">
      <text>
        <r>
          <rPr>
            <sz val="10"/>
            <color rgb="FF000000"/>
            <rFont val="Arial"/>
            <scheme val="minor"/>
          </rPr>
          <t>265-2021/INDECOPI-SRB</t>
        </r>
      </text>
    </comment>
    <comment ref="K140" authorId="0" shapeId="0" xr:uid="{00000000-0006-0000-0200-000009000000}">
      <text>
        <r>
          <rPr>
            <sz val="10"/>
            <color rgb="FF000000"/>
            <rFont val="Arial"/>
            <scheme val="minor"/>
          </rPr>
          <t>271-2021/INDECOPI-SRB</t>
        </r>
      </text>
    </comment>
    <comment ref="A150" authorId="0" shapeId="0" xr:uid="{00000000-0006-0000-0200-00000A000000}">
      <text>
        <r>
          <rPr>
            <sz val="10"/>
            <color rgb="FF000000"/>
            <rFont val="Arial"/>
            <scheme val="minor"/>
          </rPr>
          <t xml:space="preserve">Investigación por realizar cuantificación
</t>
        </r>
      </text>
    </comment>
    <comment ref="K155" authorId="0" shapeId="0" xr:uid="{00000000-0006-0000-0200-00000B000000}">
      <text>
        <r>
          <rPr>
            <sz val="10"/>
            <color rgb="FF000000"/>
            <rFont val="Arial"/>
            <scheme val="minor"/>
          </rPr>
          <t>527-2021/INDECOPI-SRB</t>
        </r>
      </text>
    </comment>
    <comment ref="K157" authorId="0" shapeId="0" xr:uid="{00000000-0006-0000-0200-00000C000000}">
      <text>
        <r>
          <rPr>
            <sz val="10"/>
            <color rgb="FF000000"/>
            <rFont val="Arial"/>
            <scheme val="minor"/>
          </rPr>
          <t>443-2021/INDECOPI-SRB</t>
        </r>
      </text>
    </comment>
    <comment ref="A168" authorId="0" shapeId="0" xr:uid="{00000000-0006-0000-0200-00000D000000}">
      <text>
        <r>
          <rPr>
            <sz val="10"/>
            <color rgb="FF000000"/>
            <rFont val="Arial"/>
            <scheme val="minor"/>
          </rPr>
          <t>Control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S1" authorId="0" shapeId="0" xr:uid="{00000000-0006-0000-0500-000001000000}">
      <text>
        <r>
          <rPr>
            <sz val="10"/>
            <color rgb="FF000000"/>
            <rFont val="Arial"/>
            <scheme val="minor"/>
          </rPr>
          <t>Tiempo de eliminación de BB desde la notif OEVBB hasta el cierre de la inv. sin contar el tiempo de espera.</t>
        </r>
      </text>
    </comment>
    <comment ref="Q52" authorId="0" shapeId="0" xr:uid="{00000000-0006-0000-0500-000002000000}">
      <text>
        <r>
          <rPr>
            <sz val="10"/>
            <color rgb="FF000000"/>
            <rFont val="Arial"/>
            <scheme val="minor"/>
          </rPr>
          <t>Antes decia 358</t>
        </r>
      </text>
    </comment>
    <comment ref="B74" authorId="0" shapeId="0" xr:uid="{00000000-0006-0000-0500-000003000000}">
      <text>
        <r>
          <rPr>
            <sz val="10"/>
            <color rgb="FF000000"/>
            <rFont val="Arial"/>
            <scheme val="minor"/>
          </rPr>
          <t xml:space="preserve">no fue costeada en el 2019 - se reporto en febrero 2020 y aun asi no fue costeada
</t>
        </r>
      </text>
    </comment>
    <comment ref="A107" authorId="0" shapeId="0" xr:uid="{00000000-0006-0000-0500-000004000000}">
      <text>
        <r>
          <rPr>
            <sz val="10"/>
            <color rgb="FF000000"/>
            <rFont val="Arial"/>
            <scheme val="minor"/>
          </rPr>
          <t>Investigación por realizar cuantificación</t>
        </r>
      </text>
    </comment>
    <comment ref="K128" authorId="0" shapeId="0" xr:uid="{00000000-0006-0000-0500-000005000000}">
      <text>
        <r>
          <rPr>
            <sz val="10"/>
            <color rgb="FF000000"/>
            <rFont val="Arial"/>
            <scheme val="minor"/>
          </rPr>
          <t>200-2021/INDECOPI-SRB</t>
        </r>
      </text>
    </comment>
    <comment ref="A133" authorId="0" shapeId="0" xr:uid="{00000000-0006-0000-0500-000006000000}">
      <text>
        <r>
          <rPr>
            <sz val="10"/>
            <color rgb="FF000000"/>
            <rFont val="Arial"/>
            <scheme val="minor"/>
          </rPr>
          <t>Investigación por cuantificar</t>
        </r>
      </text>
    </comment>
    <comment ref="B134" authorId="0" shapeId="0" xr:uid="{00000000-0006-0000-0500-000007000000}">
      <text>
        <r>
          <rPr>
            <sz val="10"/>
            <color rgb="FF000000"/>
            <rFont val="Arial"/>
            <scheme val="minor"/>
          </rPr>
          <t>municipalidad provincial de la unión - 
cotahuasi</t>
        </r>
      </text>
    </comment>
    <comment ref="K139" authorId="0" shapeId="0" xr:uid="{00000000-0006-0000-0500-000008000000}">
      <text>
        <r>
          <rPr>
            <sz val="10"/>
            <color rgb="FF000000"/>
            <rFont val="Arial"/>
            <scheme val="minor"/>
          </rPr>
          <t>265-2021/INDECOPI-SRB</t>
        </r>
      </text>
    </comment>
    <comment ref="K140" authorId="0" shapeId="0" xr:uid="{00000000-0006-0000-0500-000009000000}">
      <text>
        <r>
          <rPr>
            <sz val="10"/>
            <color rgb="FF000000"/>
            <rFont val="Arial"/>
            <scheme val="minor"/>
          </rPr>
          <t>271-2021/INDECOPI-SRB</t>
        </r>
      </text>
    </comment>
    <comment ref="A150" authorId="0" shapeId="0" xr:uid="{00000000-0006-0000-0500-00000A000000}">
      <text>
        <r>
          <rPr>
            <sz val="10"/>
            <color rgb="FF000000"/>
            <rFont val="Arial"/>
            <scheme val="minor"/>
          </rPr>
          <t xml:space="preserve">Investigación por realizar cuantificación
</t>
        </r>
      </text>
    </comment>
    <comment ref="K155" authorId="0" shapeId="0" xr:uid="{00000000-0006-0000-0500-00000B000000}">
      <text>
        <r>
          <rPr>
            <sz val="10"/>
            <color rgb="FF000000"/>
            <rFont val="Arial"/>
            <scheme val="minor"/>
          </rPr>
          <t>527-2021/INDECOPI-SRB</t>
        </r>
      </text>
    </comment>
    <comment ref="K157" authorId="0" shapeId="0" xr:uid="{00000000-0006-0000-0500-00000C000000}">
      <text>
        <r>
          <rPr>
            <sz val="10"/>
            <color rgb="FF000000"/>
            <rFont val="Arial"/>
            <scheme val="minor"/>
          </rPr>
          <t>443-2021/INDECOPI-SRB</t>
        </r>
      </text>
    </comment>
    <comment ref="A168" authorId="0" shapeId="0" xr:uid="{00000000-0006-0000-0500-00000D000000}">
      <text>
        <r>
          <rPr>
            <sz val="10"/>
            <color rgb="FF000000"/>
            <rFont val="Arial"/>
            <scheme val="minor"/>
          </rPr>
          <t>Control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S1" authorId="0" shapeId="0" xr:uid="{00000000-0006-0000-0600-000001000000}">
      <text>
        <r>
          <rPr>
            <sz val="10"/>
            <color rgb="FF000000"/>
            <rFont val="Arial"/>
            <scheme val="minor"/>
          </rPr>
          <t>Tiempo de eliminación de BB desde la notif OEVBB hasta el cierre de la inv. sin contar el tiempo de espera.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00000000-0006-0000-0800-000001000000}">
      <text>
        <r>
          <rPr>
            <sz val="10"/>
            <color rgb="FF000000"/>
            <rFont val="Arial"/>
            <scheme val="minor"/>
          </rPr>
          <t>Todos los concluidos del 20/5/2022 hasta el 7/7/2022 (fecha de cierre de investigación) con BB eliminadas mayor a cero</t>
        </r>
      </text>
    </comment>
    <comment ref="O2" authorId="0" shapeId="0" xr:uid="{00000000-0006-0000-0800-000002000000}">
      <text>
        <r>
          <rPr>
            <sz val="10"/>
            <color rgb="FF000000"/>
            <rFont val="Arial"/>
            <scheme val="minor"/>
          </rPr>
          <t>FECHA DE PUBLICACION DE TUPA EN WEB
FECHA DE INFORME DE INICIO DE PAS
CASO DE COLEGIOS O UNIVERSIDADES: FECHA DE SU REGLAMENTO PUBLICADO EN WEB</t>
        </r>
      </text>
    </comment>
    <comment ref="S2" authorId="0" shapeId="0" xr:uid="{00000000-0006-0000-0800-000003000000}">
      <text>
        <r>
          <rPr>
            <sz val="10"/>
            <color rgb="FF000000"/>
            <rFont val="Arial"/>
            <scheme val="minor"/>
          </rPr>
          <t>Tiempo de eliminación de BB desde la notif OEVBB hasta el cierre de la inv. sin contar el tiempo de espera.</t>
        </r>
      </text>
    </comment>
  </commentList>
</comments>
</file>

<file path=xl/sharedStrings.xml><?xml version="1.0" encoding="utf-8"?>
<sst xmlns="http://schemas.openxmlformats.org/spreadsheetml/2006/main" count="5947" uniqueCount="789">
  <si>
    <t>INVESTIGACION</t>
  </si>
  <si>
    <t>ENTIDAD</t>
  </si>
  <si>
    <t>FASE</t>
  </si>
  <si>
    <t>DETALLE DE ESTADO</t>
  </si>
  <si>
    <t>TIPO TRATAMIENTO BE</t>
  </si>
  <si>
    <t>TIPO DE INVESTIGACIÓN</t>
  </si>
  <si>
    <t>TIPO DE ENTIDAD</t>
  </si>
  <si>
    <t>DEPARTAMENTO</t>
  </si>
  <si>
    <t>ORI</t>
  </si>
  <si>
    <t>N° OFICIO EVBB</t>
  </si>
  <si>
    <t>FECHA DE NOTIFICACIÓN DE OFICIO</t>
  </si>
  <si>
    <t>AÑO DE INICIO</t>
  </si>
  <si>
    <t>BARRERAS IDENTIFICADAS</t>
  </si>
  <si>
    <t>FECHA DE CIERRE DE INVESTIGACIÓN</t>
  </si>
  <si>
    <t>AÑO DE CONCLUSIÓN</t>
  </si>
  <si>
    <t>BARRERAS ELIMINADAS</t>
  </si>
  <si>
    <t>PROCEDIMIENTOS ELIMINADOS</t>
  </si>
  <si>
    <t>TIEMPO DE ELIMINACIÓN VOLUNTARIA</t>
  </si>
  <si>
    <t>29-2022/INV-SRB</t>
  </si>
  <si>
    <t>UNIVERSIDAD NACIONAL DE CAJAMARCA</t>
  </si>
  <si>
    <t>ELIMINACIÓN VOLUNTARIA</t>
  </si>
  <si>
    <t>INVESTIGACIÓN CONCLUIDA</t>
  </si>
  <si>
    <t>NO APLICA</t>
  </si>
  <si>
    <t>PROGRAMA EVBB</t>
  </si>
  <si>
    <t>UNIVERSIDAD PÚBLICA</t>
  </si>
  <si>
    <t>CAJAMARCA</t>
  </si>
  <si>
    <t>382-2022/INDECOPI-SRB</t>
  </si>
  <si>
    <t>21-2022/INV-SRB</t>
  </si>
  <si>
    <t>UNIVERSIDAD NACIONAL DEL ALTIPLANO</t>
  </si>
  <si>
    <t>TIPO 1</t>
  </si>
  <si>
    <t>PUNO</t>
  </si>
  <si>
    <t>707-2022/INDECOPI-SRB</t>
  </si>
  <si>
    <t>34-2022/INV-SRB</t>
  </si>
  <si>
    <t>706-2022/INDECOPI-SRB</t>
  </si>
  <si>
    <t>47-2022/INV-SRB</t>
  </si>
  <si>
    <t>UNIVERSIDAD NACIONAL DE MOQUEGUA</t>
  </si>
  <si>
    <t>MOQUEGUA</t>
  </si>
  <si>
    <t>TACNA</t>
  </si>
  <si>
    <t>633-2022/INDECOPI-SRB</t>
  </si>
  <si>
    <t>50-2022/INV-SRB</t>
  </si>
  <si>
    <t>UNIVERSIDAD NACIONAL JORGE BASADRE GROHMANN</t>
  </si>
  <si>
    <t>652-2022/INDECOPI-SRB</t>
  </si>
  <si>
    <t>51-2022/INV-SRB</t>
  </si>
  <si>
    <t>651-2022/INDECOPI-SRB</t>
  </si>
  <si>
    <t>52-2022/INV-SRB</t>
  </si>
  <si>
    <t>650-2022/INDECOPI-SRB</t>
  </si>
  <si>
    <t>53-2022/INV-SRB</t>
  </si>
  <si>
    <t>649-2022/INDECOPI-SRB</t>
  </si>
  <si>
    <t>54-2022/INV-SRB</t>
  </si>
  <si>
    <t>ESCUELA DE POSTGRADO NEUMANN BUSINESS SCHOOL S.A.C.</t>
  </si>
  <si>
    <t>UNIVERSIDAD PRIVADA</t>
  </si>
  <si>
    <t>631-2022/INDECOPI-SRB</t>
  </si>
  <si>
    <t>55-2022/INV-SRB</t>
  </si>
  <si>
    <t>UNIVERSIDAD PRIVADA DE TACNA</t>
  </si>
  <si>
    <t>665-2022/INDECOPI-SRB</t>
  </si>
  <si>
    <t>56-2022/INV-SRB</t>
  </si>
  <si>
    <t>666-2022/INDECOPI-SRB</t>
  </si>
  <si>
    <t>57-2022/INV-SRB</t>
  </si>
  <si>
    <t>667-2022/INDECOPI-SRB</t>
  </si>
  <si>
    <t>66-2022/INV-SRB</t>
  </si>
  <si>
    <t>668-2022/INDECOPI-SRB</t>
  </si>
  <si>
    <t>67-2022/INV-SRB</t>
  </si>
  <si>
    <t>669-2022/INDECOPI-SRB</t>
  </si>
  <si>
    <t>69-2022/INV-SRB</t>
  </si>
  <si>
    <t>UNIVERSIDAD AUTÓNOMA DE ICA S.A.C.</t>
  </si>
  <si>
    <t>ICA</t>
  </si>
  <si>
    <t>704-2022/INDECOPI-SRB</t>
  </si>
  <si>
    <t>71-2022/INV-SRB</t>
  </si>
  <si>
    <t>UNIVERSIDAD DE PIURA</t>
  </si>
  <si>
    <t>PIURA</t>
  </si>
  <si>
    <t>670-2022/INDECOPI-SRB</t>
  </si>
  <si>
    <t>74-2022/INV-SRB</t>
  </si>
  <si>
    <t>UNIVERSIDAD NACIONAL DE FRONTERA</t>
  </si>
  <si>
    <t>818-2022/INDECOPI-SRB</t>
  </si>
  <si>
    <t>75-2022/INV-SRB</t>
  </si>
  <si>
    <t>671-2022/INDECOPI-SRB</t>
  </si>
  <si>
    <t>76-2022/INV-SRB</t>
  </si>
  <si>
    <t>UNIVERSIDAD NACIONAL DE JULIACA</t>
  </si>
  <si>
    <t>826-2022/INDECOPI-SRB</t>
  </si>
  <si>
    <t>79-2022/INV-SRB</t>
  </si>
  <si>
    <t>COLEGIO DE ABOGADOS DE PUNO</t>
  </si>
  <si>
    <t>COLEGIO PROFESIONAL</t>
  </si>
  <si>
    <t>932-2022/INDECOPI-SRB</t>
  </si>
  <si>
    <t>81-2022/INV-SRB</t>
  </si>
  <si>
    <t>672-2022/INDECOPI-SRB</t>
  </si>
  <si>
    <t>82-2022/INV-SRB</t>
  </si>
  <si>
    <t>673-2022/INDECOPI-SRB</t>
  </si>
  <si>
    <t>83-2022/INV-SRB</t>
  </si>
  <si>
    <t>674-2022/INDECOPI-SRB</t>
  </si>
  <si>
    <t>84-2022/INV-SRB</t>
  </si>
  <si>
    <t>675-2022/INDECOPI-SRB</t>
  </si>
  <si>
    <t>85-2022/INV-SRB</t>
  </si>
  <si>
    <t>676-2022/INDECOPI-SRB</t>
  </si>
  <si>
    <t>86-2022/INV-SRB</t>
  </si>
  <si>
    <t>677-2022/INDECOPI-SRB</t>
  </si>
  <si>
    <t>87-2022/INV-SRB</t>
  </si>
  <si>
    <t>678-2022/INDECOPI-SRB</t>
  </si>
  <si>
    <t>88-2022/INV-SRB</t>
  </si>
  <si>
    <t>679-2022/INDECOPI-SRB</t>
  </si>
  <si>
    <t>89-2022/INV-SRB</t>
  </si>
  <si>
    <t>680-2022/INDECOPI-SRB</t>
  </si>
  <si>
    <t>90-2022/INV-SRB</t>
  </si>
  <si>
    <t>UNIVERSIDAD NACIONAL DE SAN CRISTÓBAL DE HUAMANGA</t>
  </si>
  <si>
    <t>AYACUCHO</t>
  </si>
  <si>
    <t>682-2022/INDECOPI-SRB</t>
  </si>
  <si>
    <t>91-2022/INV-SRB</t>
  </si>
  <si>
    <t>UNIVERSIDAD NACIONAL DE TRUJILLO</t>
  </si>
  <si>
    <t>LA LIBERTAD</t>
  </si>
  <si>
    <t>845-2022/INDECOPI-SRB</t>
  </si>
  <si>
    <t>92-2022/INV-SRB</t>
  </si>
  <si>
    <t>UNIVERSIDAD PRIVADA ANTENOR ORREGO</t>
  </si>
  <si>
    <t>846-2022/INDECOPI-SRB</t>
  </si>
  <si>
    <t>93-2022/INV-SRB</t>
  </si>
  <si>
    <t>694-2022/INDECOPI-SRB</t>
  </si>
  <si>
    <t>94-2022/INV-SRB</t>
  </si>
  <si>
    <t>693-2022/INDECOPI-SRB</t>
  </si>
  <si>
    <t>95-2022/INV-SRB</t>
  </si>
  <si>
    <t>692-2022/INDECOPI-SRB</t>
  </si>
  <si>
    <t>96-2022/INV-SRB</t>
  </si>
  <si>
    <t>691-2022/INDECOPI-SRB</t>
  </si>
  <si>
    <t>99-2022/INV-SRB</t>
  </si>
  <si>
    <t>UNIVERSIDAD NACIONAL AUTÓNOMA DE HUANTA</t>
  </si>
  <si>
    <t>698-2022/INDECOPI-SRB</t>
  </si>
  <si>
    <t>101-2022/INV-SRB</t>
  </si>
  <si>
    <t>705-2022/INDECOPI-SRB</t>
  </si>
  <si>
    <t>106-2022/INV-SRB</t>
  </si>
  <si>
    <t>UNIVERSIDAD ANDINA DEL CUSCO</t>
  </si>
  <si>
    <t>CUZCO</t>
  </si>
  <si>
    <t>831-2022/INDECOPI-SRB</t>
  </si>
  <si>
    <t>107-2022/INV-SRB</t>
  </si>
  <si>
    <t>832-2022/INDECOPI-SRB</t>
  </si>
  <si>
    <t>108-2022/INV-SRB</t>
  </si>
  <si>
    <t>833-2022/INDECOPI-SRB</t>
  </si>
  <si>
    <t>109-2022/INV-SRB</t>
  </si>
  <si>
    <t>834-2022/INDECOPI-SRB</t>
  </si>
  <si>
    <t>110-2022/INV-SRB</t>
  </si>
  <si>
    <t>835-2022/INDECOPI-SRB</t>
  </si>
  <si>
    <t>111-2022/INV-SRB</t>
  </si>
  <si>
    <t>836-2022/INDECOPI-SRB</t>
  </si>
  <si>
    <t>112-2022/INV-SRB</t>
  </si>
  <si>
    <t>837-2022/INDECOPI-SRB</t>
  </si>
  <si>
    <t>113-2022/INV-SRB</t>
  </si>
  <si>
    <t>UNIVERSIDAD NACIONAL DEL SANTA</t>
  </si>
  <si>
    <t>ANCASH</t>
  </si>
  <si>
    <t>847-2022/INDECOPI-SRB</t>
  </si>
  <si>
    <t>119-2022/INV-SRB</t>
  </si>
  <si>
    <t>UNIVERSIDAD NACIONAL DE UCAYALI</t>
  </si>
  <si>
    <t>UCAYALI</t>
  </si>
  <si>
    <t>LORETO</t>
  </si>
  <si>
    <t>914-2022/INDECOPI-SRB</t>
  </si>
  <si>
    <t>120-2022/INV-SRB</t>
  </si>
  <si>
    <t>COLEGIO DE CONTADORES PÚBLICOS DE SAN MARTÍN</t>
  </si>
  <si>
    <t>SAN MARTÍN</t>
  </si>
  <si>
    <t>916-2022/INDECOPI-SRB</t>
  </si>
  <si>
    <t>122-2022/INV-SRB</t>
  </si>
  <si>
    <t>COLEGIO DE ABOGADOS DE SAN MARTÍN</t>
  </si>
  <si>
    <t>912-2022/INDECOPI-SRB</t>
  </si>
  <si>
    <t>125-2022/INV-SRB</t>
  </si>
  <si>
    <t>UNIVERSIDAD CATÓLICA SANTO TORIBIO DE MOGROVEJO</t>
  </si>
  <si>
    <t>LAMBAYEQUE</t>
  </si>
  <si>
    <t>844-2022/INDECOPI-SRB</t>
  </si>
  <si>
    <t>126-2022/INV-SRB</t>
  </si>
  <si>
    <t>UNIVERSIDAD NACIONAL TORIBIO RODRÍGUEZ DE MENDOZA DE AMAZONAS</t>
  </si>
  <si>
    <t>AMAZONAS</t>
  </si>
  <si>
    <t>863-2022/INDECOPI-SRB</t>
  </si>
  <si>
    <t>127-2022/INV-SRB</t>
  </si>
  <si>
    <t>COLEGIO DE ABOGADO DE AMAZONAS</t>
  </si>
  <si>
    <t>917-2022/INDECOPI-SRB</t>
  </si>
  <si>
    <t>130-2022/INV-SRB</t>
  </si>
  <si>
    <t>UNIVERSIDAD NACIONAL DE JAÉN</t>
  </si>
  <si>
    <t>959-2022/INDECOPI-SRB</t>
  </si>
  <si>
    <t>132-2022/INV-SRB</t>
  </si>
  <si>
    <t>UNIVERSIDAD CATÓLICA DE SANTA MARÍA</t>
  </si>
  <si>
    <t>AREQUIPA</t>
  </si>
  <si>
    <t>978-2022/INDECOPI-SRB</t>
  </si>
  <si>
    <t>133-2022/INV-SRB</t>
  </si>
  <si>
    <t>977-2022/INDECOPI-SRB</t>
  </si>
  <si>
    <t>136-2022/INV-SRB</t>
  </si>
  <si>
    <t>COLEGIO DE CONTADORES PÚBLICOS DE LAMBAYEQUE</t>
  </si>
  <si>
    <t>948-2022/INDECOPI-SRB</t>
  </si>
  <si>
    <t>137-2022/INV-SRB</t>
  </si>
  <si>
    <t>UNIVERSIDAD LA SALLE</t>
  </si>
  <si>
    <t>952-2022/INDECOPI-SRB</t>
  </si>
  <si>
    <t>138-2022/INV-SRB</t>
  </si>
  <si>
    <t>COLEGIO DE CONTADORES PÚBLICOS DE ICA</t>
  </si>
  <si>
    <t>976-2022/INDECOPI-SRB</t>
  </si>
  <si>
    <t>139-2022/INV-SRB</t>
  </si>
  <si>
    <t>974-2022/INDECOPI-SRB</t>
  </si>
  <si>
    <t>140-2022/INV-SRB</t>
  </si>
  <si>
    <t>COLEGIO DE ABOGADOS DE AREQUIPA</t>
  </si>
  <si>
    <t>1022-2022/INDECOPI-SRB</t>
  </si>
  <si>
    <t>142-2022/INV-SRB</t>
  </si>
  <si>
    <t>COLEGIO DE ECONOMISTAS DE AREQUIPA</t>
  </si>
  <si>
    <t>1019-2022/INDECOPI-SRB</t>
  </si>
  <si>
    <t>149-2022/INV-SRB</t>
  </si>
  <si>
    <t>UNIVERSIDAD PARA EL DESARROLLO ANDINO</t>
  </si>
  <si>
    <t>HUANCAVELICA</t>
  </si>
  <si>
    <t>JUNÍN</t>
  </si>
  <si>
    <t>1129-2022/INDECOPI-SRB</t>
  </si>
  <si>
    <t>155-2022/INV-SRB</t>
  </si>
  <si>
    <t>825-2022/INDECOPI-SRB</t>
  </si>
  <si>
    <t>70-2022/INV-SRB</t>
  </si>
  <si>
    <t>681-2022/INDECOPI-SRB</t>
  </si>
  <si>
    <t>80-2022/INV-SRB</t>
  </si>
  <si>
    <t>COLEGIO DE CONTADORES PÚBLICOS DE PUNO</t>
  </si>
  <si>
    <t>930-2022/INDECOPI-SRB</t>
  </si>
  <si>
    <t>97-2022/INV-SRB</t>
  </si>
  <si>
    <t>690-2022/INDECOPI-SRB</t>
  </si>
  <si>
    <t>118-2022/INV-SRB</t>
  </si>
  <si>
    <t>UNIVERSIDAD NACIONAL DE LA AMAZONÍA PERUANA</t>
  </si>
  <si>
    <t>926-2022/INDECOPI-SRB</t>
  </si>
  <si>
    <t>131-2022/INV-SRB</t>
  </si>
  <si>
    <t>951-2022/INDECOPI-SRB</t>
  </si>
  <si>
    <t>135-2022/INV-SRB</t>
  </si>
  <si>
    <t>COLEGIO DE CONTADORES PÚBLICOS DE AMAZONAS</t>
  </si>
  <si>
    <t>949-2022/INDECOPI-SRB</t>
  </si>
  <si>
    <t>N° INVESTIGATION</t>
  </si>
  <si>
    <t>ENTITY</t>
  </si>
  <si>
    <t>TYPE OF RESEARCH</t>
  </si>
  <si>
    <t>TYPE OF ENTITY</t>
  </si>
  <si>
    <t>REGION</t>
  </si>
  <si>
    <t>DATE OF INITIATION OF INVESTIGATION</t>
  </si>
  <si>
    <t>DATE OF CLOSURE OF THE INVESTIGATION</t>
  </si>
  <si>
    <t>BARRIERS REMOVED</t>
  </si>
  <si>
    <t>ECONOMIC SAVINGS (PEN)</t>
  </si>
  <si>
    <t>ECONOMIC SAVINGS (USD)</t>
  </si>
  <si>
    <t>ESTADO GENERAL</t>
  </si>
  <si>
    <t>TIPO_ENTIDAD</t>
  </si>
  <si>
    <t>FECHA DE FIRMA DE OEVBB</t>
  </si>
  <si>
    <t>FECHA DE NOTIF OFICIO</t>
  </si>
  <si>
    <t>BB_IDENTIFICADAS</t>
  </si>
  <si>
    <t>CIERRE_INVEST</t>
  </si>
  <si>
    <t>BB_ELIMINADAS</t>
  </si>
  <si>
    <t>PROCEDIMIENTOS_ELIMINADOS</t>
  </si>
  <si>
    <t>TIEMPO REAL DE INVESTIGACIÓN DE OFICO</t>
  </si>
  <si>
    <t>TIEMPO_EVBB</t>
  </si>
  <si>
    <t>GRUPO</t>
  </si>
  <si>
    <t>TIPO_TRATAMIENTO</t>
  </si>
  <si>
    <t>MACRO_REGION</t>
  </si>
  <si>
    <t>RATIO</t>
  </si>
  <si>
    <t>TIEMPO DEL TRATAMIENTO</t>
  </si>
  <si>
    <t>INICIO</t>
  </si>
  <si>
    <t>FIN</t>
  </si>
  <si>
    <t>TIEMPO TRANSCURRIDO</t>
  </si>
  <si>
    <t>MODELO 1</t>
  </si>
  <si>
    <t>MODELO 2</t>
  </si>
  <si>
    <t>Control</t>
  </si>
  <si>
    <t>Tratamiento</t>
  </si>
  <si>
    <t>Sig.</t>
  </si>
  <si>
    <t>Tiempo</t>
  </si>
  <si>
    <t>***</t>
  </si>
  <si>
    <t>#N/A</t>
  </si>
  <si>
    <t>Barreras</t>
  </si>
  <si>
    <t>Ratio Barreras/Tiempo</t>
  </si>
  <si>
    <t>0.8</t>
  </si>
  <si>
    <t>PROVINCIA</t>
  </si>
  <si>
    <t>DISTRITO</t>
  </si>
  <si>
    <t>URBANO /RURAL</t>
  </si>
  <si>
    <t>PRIORIDAD</t>
  </si>
  <si>
    <t>MACROREGIÓN</t>
  </si>
  <si>
    <t>SELVA</t>
  </si>
  <si>
    <t>COSTA_NORTE</t>
  </si>
  <si>
    <t>SIERRA_SUR</t>
  </si>
  <si>
    <t>COSTA_SUR</t>
  </si>
  <si>
    <t>SIERRA_NORTE</t>
  </si>
  <si>
    <t>TIPO</t>
  </si>
  <si>
    <t>1-2017/INV-CEB-INDECOPI-LAL</t>
  </si>
  <si>
    <t>MUNICIPALIDAD PROVINCIAL DE HUARAZ</t>
  </si>
  <si>
    <t>CONCLUIDO</t>
  </si>
  <si>
    <t>MUNICIPALIDAD PROVINCIAL</t>
  </si>
  <si>
    <t>341-2017/INDECOPI-SRB</t>
  </si>
  <si>
    <t>1-2017/INV-CEB-INDECOPI-ICA</t>
  </si>
  <si>
    <t>MUNICIPALIDAD DISTRITAL DE PARACAS</t>
  </si>
  <si>
    <t>MUNICIPALIDAD DISTRITAL</t>
  </si>
  <si>
    <t>61-2017/INDECOPI-ICA</t>
  </si>
  <si>
    <t>2-2017/INV-CEB-INDECOPI-LAL</t>
  </si>
  <si>
    <t>MUNICIPALIDAD DISTRITAL DE SANTA</t>
  </si>
  <si>
    <t>355-2017/INDECOPI-SRB</t>
  </si>
  <si>
    <t>3-2017/INV-CEB-INDECOPI-LAL</t>
  </si>
  <si>
    <t>MUNICIPALIDAD PROVINCIAL DE VIRU</t>
  </si>
  <si>
    <t>356-2017/INDECOPI-SRB</t>
  </si>
  <si>
    <t>4-2017/INV-CEB-INDECOPI-LAL</t>
  </si>
  <si>
    <t>MUNICIPALIDAD PROVINCIAL DE TRUJILLO</t>
  </si>
  <si>
    <t>357-2017/INDECOPI-SRB</t>
  </si>
  <si>
    <t>5-2017/INV-CEB-INDECOPI-LAL</t>
  </si>
  <si>
    <t>MUNICIPALIDAD DISTRITAL DE INDEPENDENCIA EN HUARAZ</t>
  </si>
  <si>
    <t>358-2017/INDECOPI-SRB</t>
  </si>
  <si>
    <t>7-2017/INV-CEB-INDECOPI-LAL</t>
  </si>
  <si>
    <t>MUNICIPALIDAD DISTRITAL DE VICTOR LARCO HERRERA</t>
  </si>
  <si>
    <t>399-2017/INDECOPI-SRB</t>
  </si>
  <si>
    <t>9-2017/INV-CEB-INDECOPI-LAL</t>
  </si>
  <si>
    <t>MUNICIPALIDAD DISTRITAL DE EL PORVENIR EN TRUJILLO</t>
  </si>
  <si>
    <t>402-2017/INDECOPI-SRB</t>
  </si>
  <si>
    <t>10-2017/INV-CEB-INDECOPI-LAL</t>
  </si>
  <si>
    <t>MUNICIPALIDAD PROVINCIAL DE CARHUAZ</t>
  </si>
  <si>
    <t>401-2017/INDECOPI-SRB</t>
  </si>
  <si>
    <t>11-2017/INV-CEB-INDECOPI-LAL</t>
  </si>
  <si>
    <t>MUNICIPALIDAD DISTRITAL DE HUANCHACO</t>
  </si>
  <si>
    <t>2-2018/INDECOPI-SRB</t>
  </si>
  <si>
    <t>12-2017/INV-CEB-INDECOPI-LAL</t>
  </si>
  <si>
    <t>MUNICIPALIDAD DISTRITAL DE LA ESPERANZA EN TRUJILLO</t>
  </si>
  <si>
    <t>4-2018/INDECOPI-SRB</t>
  </si>
  <si>
    <t>14-2017/INV-CEB-INDECOPI-LAL</t>
  </si>
  <si>
    <t>MUNICIPALIDAD DISTRITAL DE LAREDO</t>
  </si>
  <si>
    <t>15-2018/INDECOPI-SRB</t>
  </si>
  <si>
    <t>15-2017/INV-CEB-INDECOPI-LAL</t>
  </si>
  <si>
    <t>MUNICIPALIDAD DISTRITAL DE PAIJAN</t>
  </si>
  <si>
    <t>18-2018/INDECOPI-SRB</t>
  </si>
  <si>
    <t>2-2018/INV-SRB-INDECOPI-PIU</t>
  </si>
  <si>
    <t>MUNICIPALIDAD DISTRITAL DE FRIAS</t>
  </si>
  <si>
    <t>220-2018/INDECOPI-SRB</t>
  </si>
  <si>
    <t>8-2018/INV-SRB-INDECOPI-PIU</t>
  </si>
  <si>
    <t>MUNICIPALIDAD PROVINCIAL DE PAITA</t>
  </si>
  <si>
    <t>70-2018/INDECOPI-SRB</t>
  </si>
  <si>
    <t>11-2018/INV-SRB-INDECOPI-PIU</t>
  </si>
  <si>
    <t>MUNICIPALIDAD PROVINCIAL DE PIURA</t>
  </si>
  <si>
    <t>74-2018/INDECOPI-SRB</t>
  </si>
  <si>
    <t>12-2018/INV-SRB-INDECOPI-PIU</t>
  </si>
  <si>
    <t>MUNICIPALIDAD DISTRITAL DE CASTILLA</t>
  </si>
  <si>
    <t>199-2018/INDECOPI-SRB</t>
  </si>
  <si>
    <t>14-2018/INV-SRB-INDECOPI-PIU</t>
  </si>
  <si>
    <t>MUNICIPALIDAD DISTRITAL DE LA ARENA</t>
  </si>
  <si>
    <t>230-2018/INDECOPI-SRB</t>
  </si>
  <si>
    <t>16-2018/INV-SRB-INDECOPI-PIU</t>
  </si>
  <si>
    <t>MUNICIPALIDAD DISTRITAL DE TAMBO GRANDE</t>
  </si>
  <si>
    <t>73-2018/INDECOPI-SRB</t>
  </si>
  <si>
    <t>19-2018/INV-SRB-INDECOPI-PIU</t>
  </si>
  <si>
    <t>MUNICIPALIDAD PROVINCIAL DE SECHURA</t>
  </si>
  <si>
    <t>179-2018/INDECOPI-SRB</t>
  </si>
  <si>
    <t>21-2018/INV-SRB-INDECOPI-PIU</t>
  </si>
  <si>
    <t>MUNICIPALIDAD PROVINCIAL DE SULLANA</t>
  </si>
  <si>
    <t>78-2018/INDECOPI-SRB</t>
  </si>
  <si>
    <t>23-2018/INV-SRB-INDECOPI-PIU</t>
  </si>
  <si>
    <t>MUNICIPALIDAD DISTRITAL DE MARCAVELICA</t>
  </si>
  <si>
    <t>190-2018/INDECOPI-SRB</t>
  </si>
  <si>
    <t>24-2018/INV-SRB-INDECOPI-PIU</t>
  </si>
  <si>
    <t>MUNICIPALIDAD DISTRITAL DE QUERECOTILLO</t>
  </si>
  <si>
    <t>60-2018/INDECOPI-SRB</t>
  </si>
  <si>
    <t>27-2018/INV-SRB-INDECOPI-PIU</t>
  </si>
  <si>
    <t>MUNICIPALIDAD PROVINCIAL DE TALARA</t>
  </si>
  <si>
    <t>197-2018/INDECOPI-SRB</t>
  </si>
  <si>
    <t>29-2018/INV-SRB-INDECOPI-PIU</t>
  </si>
  <si>
    <t>MUNICIPALIDAD DISTRITAL DE MANCORA</t>
  </si>
  <si>
    <t>213-2018/INDECOPI-SRB</t>
  </si>
  <si>
    <t>34-2018/INV-SRB-INDECOPI-PIU</t>
  </si>
  <si>
    <t>MUNICIPALIDAD DISTRITAL DE AGUAS VERDES</t>
  </si>
  <si>
    <t>TUMBES</t>
  </si>
  <si>
    <t>217-2018/INDECOPI-SRB</t>
  </si>
  <si>
    <t>2-2018/INV-SRB-INDECOPI-LOR</t>
  </si>
  <si>
    <t>MUNICIPALIDAD DISTRITAL DE SAN JUAN BAUTISTA EN MAYNAS</t>
  </si>
  <si>
    <t>74-2018/INDECOPI-LOR</t>
  </si>
  <si>
    <t>1-2018/INV-SRB-INDECOPI-LAM</t>
  </si>
  <si>
    <t>MUNICIPALIDAD DISTRITAL DE LA VICTORIA EN CHICLAYO</t>
  </si>
  <si>
    <t>171-2018/INDECOPI-LAM</t>
  </si>
  <si>
    <t>1-2018/INV-SRB-INDECOPI-LOR</t>
  </si>
  <si>
    <t>MUNICIPALIDAD PROVINCIAL DE MAYNAS</t>
  </si>
  <si>
    <t>9-2018/INDECOPI-LOR</t>
  </si>
  <si>
    <t>22-2018/INDECOPI-LOR</t>
  </si>
  <si>
    <t>1-2019/INV-SRB-INDECOPI-AQP</t>
  </si>
  <si>
    <t>MUNICIPALIDAD DISTRITAL DE CAYMA</t>
  </si>
  <si>
    <t>7-2019/INDECOPI-SRB</t>
  </si>
  <si>
    <t>3-2019/INV-SRB-INDECOPI-AQP</t>
  </si>
  <si>
    <t>MUNICIPALIDAD DISTRITAL DE YANAHUARA</t>
  </si>
  <si>
    <t>2-2019/INDECOPI-SRB</t>
  </si>
  <si>
    <t>2-2019/INV-SRB-INDECOPI-AQP</t>
  </si>
  <si>
    <t>MUNICIPALIDAD DISTRITAL DE JOSE LUIS BUSTAMANTE Y RIVERO</t>
  </si>
  <si>
    <t>3-2019/INDECOPI-SRB</t>
  </si>
  <si>
    <t>5-2019/INV-SRB-INDECOPI-AQP</t>
  </si>
  <si>
    <t>MUNICIPALIDAD DISTRITAL DE YURA</t>
  </si>
  <si>
    <t>1105-2019/INDECOPI-SRB</t>
  </si>
  <si>
    <t>4-2019/INV-SRB-INDECOPI-AQP</t>
  </si>
  <si>
    <t>MUNICIPALIDAD DISTRITAL DE ALTO SELVA ALEGRE</t>
  </si>
  <si>
    <t>1106-2019/INDECOPI-SRB</t>
  </si>
  <si>
    <t>6-2019/INV-SRB-INDECOPI-AQP</t>
  </si>
  <si>
    <t>MUNICIPALIDAD DISTRITAL DE COCACHACRA</t>
  </si>
  <si>
    <t>1107-2019/INDECOPI-SRB</t>
  </si>
  <si>
    <t>14-2019/INV-SRB-INDECOPI-AQP</t>
  </si>
  <si>
    <t>MUNICIPALIDAD DISTRITAL DE MIRAFLORES EN AREQUIPA</t>
  </si>
  <si>
    <t>1215-2019/INDECOPI-SRB</t>
  </si>
  <si>
    <t>7-2019/INV-SRB-INDECOPI-AQP</t>
  </si>
  <si>
    <t>MUNICIPALIDAD DISTRITAL DE SACHACA</t>
  </si>
  <si>
    <t>1111-2019/INDECOPI-SRB</t>
  </si>
  <si>
    <t>8-2019/INV-SRB-INDECOPI-AQP</t>
  </si>
  <si>
    <t>MUNICIPALIDAD DISTRITAL DE MARIANO MELGAR</t>
  </si>
  <si>
    <t>1113-2019/INDECOPI-SRB</t>
  </si>
  <si>
    <t>9-2019/INV-SRB-INDECOPI-AQP</t>
  </si>
  <si>
    <t>MUNICIPALIDAD DISTRITAL DE JACOBO HUNTER</t>
  </si>
  <si>
    <t>1119-2019/INDECOPI-SRB</t>
  </si>
  <si>
    <t>11-2019/INV-SRB-INDECOPI-AQP</t>
  </si>
  <si>
    <t>MUNICIPALIDAD DISTRITAL DE PAUCARPATA</t>
  </si>
  <si>
    <t>1123-2019/INDECOPI-SRB</t>
  </si>
  <si>
    <t>12-2019/INV-SRB-INDECOPI-AQP</t>
  </si>
  <si>
    <t>MUNICIPALIDAD DISTRITAL DE SOCABAYA</t>
  </si>
  <si>
    <t>1121-2019/INDECOPI-SRB</t>
  </si>
  <si>
    <t>10-2019/INV-SRB-INDECOPI-AQP</t>
  </si>
  <si>
    <t>MUNICIPALIDAD PROVINCIAL DE AREQUIPA</t>
  </si>
  <si>
    <t>1122-2019/INDECOPI-SRB</t>
  </si>
  <si>
    <t>16-2019/INV-SRB-INDECOPI-AQP</t>
  </si>
  <si>
    <t>MUNICIPALIDAD PROVINCIAL DE CAMANA</t>
  </si>
  <si>
    <t>1120-2019/INDECOPI-SRB</t>
  </si>
  <si>
    <t>13-2019/INV-SRB-INDECOPI-AQP</t>
  </si>
  <si>
    <t>MUNICIPALIDAD DISTRITAL DE LA JOYA</t>
  </si>
  <si>
    <t>1125-2019/INDECOPI-SRB</t>
  </si>
  <si>
    <t>15-2019/INV-SRB-INDECOPI-AQP</t>
  </si>
  <si>
    <t>MUNICIPALIDAD DISTRITAL DE TIABAYA</t>
  </si>
  <si>
    <t>1128-2019/INDECOPI-SRB</t>
  </si>
  <si>
    <t>3-2019/INV-SRB-INDECOPI-PIU</t>
  </si>
  <si>
    <t>MUNICIPALIDAD DISTRITAL DE LA BREA</t>
  </si>
  <si>
    <t>1135-2019/INDECOPI-SRB</t>
  </si>
  <si>
    <t>17-2019/INV-SRB-INDECOPI-AQP</t>
  </si>
  <si>
    <t>MUNICIPALIDAD DISTRITAL DE CERRO COLORADO</t>
  </si>
  <si>
    <t>1211-2019/INDECOPI-SRB</t>
  </si>
  <si>
    <t>18-2019/INV-SRB-INDECOPI-AQP</t>
  </si>
  <si>
    <t>GOBIERNO REGIONAL DE AREQUIPA</t>
  </si>
  <si>
    <t>GOBIERNO REGIONAL</t>
  </si>
  <si>
    <t>118-2018/INDECOPI-AQP</t>
  </si>
  <si>
    <t>20-2018/INV-SRB-INDECOPI-PIU</t>
  </si>
  <si>
    <t>MUNICIPALIDAD DISTRITAL DE VICE</t>
  </si>
  <si>
    <t>1217-2019/INDECOPI-SRB</t>
  </si>
  <si>
    <t>19-2019/INV-SRB-INDECOPI-AQP</t>
  </si>
  <si>
    <t>MUNICIPALIDAD PROVINCIAL DE ISLAY</t>
  </si>
  <si>
    <t>1225-2019/INDECOPI-SRB</t>
  </si>
  <si>
    <t>1-2019/INV-SRB-INDECOPI-JUN</t>
  </si>
  <si>
    <t>MUNICIPALIDAD PROVINCIAL DE HUANCAYO</t>
  </si>
  <si>
    <t>1375-2019/INDECOPI-SRB</t>
  </si>
  <si>
    <t>2-2019/INV-SRB-INDECOPI-JUN</t>
  </si>
  <si>
    <t>1540-2019/INDECOPI-SRB</t>
  </si>
  <si>
    <t>22-2019/INV-SRB-INDECOPI-JUN</t>
  </si>
  <si>
    <t>MUNICIPALIDAD PROVINCIAL DE PACHITEA</t>
  </si>
  <si>
    <t>HUÁNUCO</t>
  </si>
  <si>
    <t>1298-2019/INDECOPI-SRB</t>
  </si>
  <si>
    <t>3-2019/INV-SRB-INDECOPI-JUN</t>
  </si>
  <si>
    <t>MUNICIPALIDAD DISTRITAL DE SAN AGUSTIN</t>
  </si>
  <si>
    <t>1379-2019/INDECOPI-SRB</t>
  </si>
  <si>
    <t>4-2019/INV-SRB-INDECOPI-JUN</t>
  </si>
  <si>
    <t>MUNICIPALIDAD PROVINCIAL DE LEONCIO PRADO</t>
  </si>
  <si>
    <t>1380-2019/INDECOPI-SRB</t>
  </si>
  <si>
    <t>6-2019/INV-SRB-INDECOPI-JUN</t>
  </si>
  <si>
    <t>MUNICIPALIDAD PROVINCIAL DE HUANUCO</t>
  </si>
  <si>
    <t>1383-2019/INDECOPI-SRB</t>
  </si>
  <si>
    <t>7-2019/INV-SRB-INDECOPI-JUN</t>
  </si>
  <si>
    <t>MUNICIPALIDAD PROVINCIAL DE HUANCAVELICA</t>
  </si>
  <si>
    <t>1378-2019/INDECOPI-SRB</t>
  </si>
  <si>
    <t>8-2019/INV-SRB-INDECOPI-JUN</t>
  </si>
  <si>
    <t>MUNICIPALIDAD PROVINCIAL DE TAYACAJA</t>
  </si>
  <si>
    <t>1384-2019/INDECOPI-SRB</t>
  </si>
  <si>
    <t>21-2019/INV-SRB-INDECOPI-AQP</t>
  </si>
  <si>
    <t>UNIVERSIDAD NACIONAL DE SAN AGUSTÍN</t>
  </si>
  <si>
    <t>1498-2019/INDECOPI-SRB</t>
  </si>
  <si>
    <t>9-2019/INV-SRB-INDECOPI-JUN</t>
  </si>
  <si>
    <t>MUNICIPALIDAD DISTRITAL DE CHILCA EN HUANCAYO</t>
  </si>
  <si>
    <t>1506-2019/INDECOPI-SRB</t>
  </si>
  <si>
    <t>10-2019/INV-SRB-INDECOPI-JUN</t>
  </si>
  <si>
    <t>MUNICIPALIDAD PROVINCIAL DE SATIPO</t>
  </si>
  <si>
    <t>1509-2019/INDECOPI-SRB</t>
  </si>
  <si>
    <t>11-2019/INV-SRB-INDECOPI-JUN</t>
  </si>
  <si>
    <t>MUNICIPALIDAD PROVINCIAL DE CHUPACA</t>
  </si>
  <si>
    <t>1511-2019/INDECOPI-SRB</t>
  </si>
  <si>
    <t>12-2019/INV-SRB-INDECOPI-JUN</t>
  </si>
  <si>
    <t>MUNICIPALIDAD DISTRITAL DE AMARILIS</t>
  </si>
  <si>
    <t>1510-2019/INDECOPI-SRB</t>
  </si>
  <si>
    <t>14-2019/INV-SRB-INDECOPI-JUN</t>
  </si>
  <si>
    <t>MUNICIPALIDAD DISTRITAL DE SAPALLANGA</t>
  </si>
  <si>
    <t>1520-2019/INDEOCPI-SRB</t>
  </si>
  <si>
    <t>15-2019/INV-SRB-INDECOPI-JUN</t>
  </si>
  <si>
    <t>MUNICIPALIDAD DISTRITAL DE COLCABAMBA EN TAYACAJA</t>
  </si>
  <si>
    <t>1518-2019/INDECOPI-SRB</t>
  </si>
  <si>
    <t>22-2019/INV-SRB-INDECOPI-AQP</t>
  </si>
  <si>
    <t>MUNICIPALIDAD PROVINCIAL DE CARAVELI</t>
  </si>
  <si>
    <t>1527-2019/INDECOPI-SRB</t>
  </si>
  <si>
    <t>23-2019/INV-SRB-INDECOPI-AQP</t>
  </si>
  <si>
    <t>MUNICIPALIDAD DISTRITAL DE SABANDIA</t>
  </si>
  <si>
    <t>1549-2019/INDECOPI-SRB</t>
  </si>
  <si>
    <t>18-2019/INV-SRB-INDECOPI-JUN</t>
  </si>
  <si>
    <t>GOBIERNO REGIONAL DE HUÁNUCO</t>
  </si>
  <si>
    <t>1548-2019/INDECOPI-AQP</t>
  </si>
  <si>
    <t>24-2019/INV-SRB-INDECOPI-AQP</t>
  </si>
  <si>
    <t>MUNICIPALIDAD DISTRITAL DE CHARACATO</t>
  </si>
  <si>
    <t>1560-2019/INDECOPI-SRB</t>
  </si>
  <si>
    <t>20-2019/INV-SRB-INDECOPI-JUN</t>
  </si>
  <si>
    <t>MUNICIPALIDAD PROVINCIAL DE AMBO</t>
  </si>
  <si>
    <t>1561-2019/INDECOPI-SRB</t>
  </si>
  <si>
    <t>21-2019/INV-SRB-INDECOPI-JUN</t>
  </si>
  <si>
    <t>MUNICIPALIDAD DISTRITAL DE MAZAMARI</t>
  </si>
  <si>
    <t>1559-2019/INDECOPI-SRB</t>
  </si>
  <si>
    <t>MUNICIPALIDAD PROVINCIAL DE OXAPAMPA</t>
  </si>
  <si>
    <t>PASCO</t>
  </si>
  <si>
    <t>1586-2019/INDECOPI-SRB</t>
  </si>
  <si>
    <t>1-2019/INV-SRB-INDECOPI-TAC</t>
  </si>
  <si>
    <t>MUNICIPALIDAD PROVINCIAL DE TACNA</t>
  </si>
  <si>
    <t>189-2019/INDECOPI-TAC</t>
  </si>
  <si>
    <t>2-2019/INV-SRB-INDECOPI-TAC</t>
  </si>
  <si>
    <t>MUNICIPALIDAD DISTRITAL DE CORONEL GREGORIO ALBARRACIN LANCHIPA</t>
  </si>
  <si>
    <t>208-2019/INDECOPI-TAC</t>
  </si>
  <si>
    <t>3-2019/INV-SRB-INDECOPI-TAC</t>
  </si>
  <si>
    <t>MUNICIPALIDAD PROVINCIAL DE MARISCAL NIETO</t>
  </si>
  <si>
    <t>173-2019/INDECOPI-TAC</t>
  </si>
  <si>
    <t>1-2020/INV-SRB-INDECOPI-JUN</t>
  </si>
  <si>
    <t>MUNICIPALIDAD PROVINCIAL DE TARMA</t>
  </si>
  <si>
    <t>22-2020/INDECOPI-SRB</t>
  </si>
  <si>
    <t>2-2020/INV-SRB-INDECOPI-JUN</t>
  </si>
  <si>
    <t>MUNICIPALIDAD DISTRITAL DE SAN RAMON</t>
  </si>
  <si>
    <t>29-2020/INDECOPI-SRB</t>
  </si>
  <si>
    <t>3-2020/INV-SRB-INDECOPI-JUN</t>
  </si>
  <si>
    <t>MUNICIPALIDAD PROVINCIAL DE CONCEPCION</t>
  </si>
  <si>
    <t>61-2020/INDECOPI-SRB</t>
  </si>
  <si>
    <t>4-2020/INV-SRB-INDECOPI-JUN</t>
  </si>
  <si>
    <t>MUNICIPALIDAD DISTRITAL DE ACORIA</t>
  </si>
  <si>
    <t>62-2020/INDECOPI-SRB</t>
  </si>
  <si>
    <t>5-2020/INV-SRB-INDECOPI-JUN</t>
  </si>
  <si>
    <t>MUNICIPALIDAD PROVINCIAL DE JAUJA</t>
  </si>
  <si>
    <t>63-2020/INDECOPI-SRB</t>
  </si>
  <si>
    <t>6-2020/INV-SRB-INDECOPI-JUN</t>
  </si>
  <si>
    <t>MUNICIPALIDAD PROVINCIAL DE ACOBAMBA</t>
  </si>
  <si>
    <t>71-2020/INDECOPI-SRB</t>
  </si>
  <si>
    <t>8-2020/INV-SRB-INDECOPI-JUN</t>
  </si>
  <si>
    <t>GOBIERNO REGIONAL DE PASCO</t>
  </si>
  <si>
    <t>75-2020/INDECOPI-SRB</t>
  </si>
  <si>
    <t>9-2020/INV-SRB-INDECOPI-JUN</t>
  </si>
  <si>
    <t>MUNICIPALIDAD PROVINCIAL DE ANGARAES</t>
  </si>
  <si>
    <t>74-2020/INDECOPI-SRB</t>
  </si>
  <si>
    <t>10-2020/INV-SRB-INDECOPI-JUN</t>
  </si>
  <si>
    <t>UNIVERSIDAD NACIONAL AGRARIA DE LA SELVA</t>
  </si>
  <si>
    <t>76-2020/INDECOPI-SRB</t>
  </si>
  <si>
    <t/>
  </si>
  <si>
    <t>11-2020/INV-SRB-INDECOPI-JUN</t>
  </si>
  <si>
    <t>UNIVERSIDAD PRIVADA DE HUANCAYO FRANKLIN ROOSEVELT SOCIEDAD ANÓNIMA CERRADA</t>
  </si>
  <si>
    <t>274-2020/INDECOPI-SRB</t>
  </si>
  <si>
    <t>14-2020/INV-SRB-INDECOPI-JUN</t>
  </si>
  <si>
    <t>UNIVERSIDAD PERUANA LOS ANDES</t>
  </si>
  <si>
    <t>83-2020/INDECOPI-SRB</t>
  </si>
  <si>
    <t>15-2020/INV-SRB-INDECOPI-JUN</t>
  </si>
  <si>
    <t>UNIVERSIDAD NACIONAL DE HUANCAVELICA</t>
  </si>
  <si>
    <t>84-2020/INDECOPI-SRB</t>
  </si>
  <si>
    <t>16-2020/INV-SRB-INDECOPI-JUN</t>
  </si>
  <si>
    <t>UNIVERSIDAD CONTINENTAL S.A.C.</t>
  </si>
  <si>
    <t>86-2020/INDECOPI-SRB</t>
  </si>
  <si>
    <t>17-2020/INV-SRB-INDECOPI-JUN</t>
  </si>
  <si>
    <t>88-2020/INDECOPI-SRB</t>
  </si>
  <si>
    <t>18-2020/INV-SRB-INDECOPI-JUN</t>
  </si>
  <si>
    <t>UNIVERSIDAD NACIONAL HERMILIO VALDIZÁN DE HUÁNUCO</t>
  </si>
  <si>
    <t>91-2020/INDECOPI-SRB</t>
  </si>
  <si>
    <t>20-2020/INV-SRB-INDECOPI-JUN</t>
  </si>
  <si>
    <t>MUNICIPALIDAD DISTRITAL DE EL TAMBO</t>
  </si>
  <si>
    <t>89-2020/INDECOPI-SRB</t>
  </si>
  <si>
    <t>1-2020/INV-SRB-INDECOPI-AQP</t>
  </si>
  <si>
    <t>MUNICIPALIDAD DISTRITAL DE SAMUEL PASTOR</t>
  </si>
  <si>
    <t>78-2020/INDECOPI-SRB</t>
  </si>
  <si>
    <t>2-2020/INV-SRB-INDECOPI-AQP</t>
  </si>
  <si>
    <t>77-2020/INDECOPI-SRB</t>
  </si>
  <si>
    <t>3-2020/INV-SRB-INDECOPI-AQP</t>
  </si>
  <si>
    <t>UNIVERSIDAD CATÓLICA SAN PABLO</t>
  </si>
  <si>
    <t>80-2020/INDECOPI-SRB</t>
  </si>
  <si>
    <t>4-2020/INV-SRB-INDECOPI-AQP</t>
  </si>
  <si>
    <t>82-2020/INDECOPI-SRB</t>
  </si>
  <si>
    <t>5-2020/INV-SRB-INDECOPI-AQP</t>
  </si>
  <si>
    <t>MUNICIPALIDAD DISTRITAL DE MAJES</t>
  </si>
  <si>
    <t>85-2020/INDECOPI-SRB</t>
  </si>
  <si>
    <t>21-2020/INV-SRB-INDECOPI-JUN</t>
  </si>
  <si>
    <t>UNIVERSIDAD DE HUÁNUCO</t>
  </si>
  <si>
    <t>98-2020/INDECOPI-SRB</t>
  </si>
  <si>
    <t>6-2020/INV-SRB-INDECOPI-AQP</t>
  </si>
  <si>
    <t>MUNICIPALIDAD DISTRITAL DE UCHUMAYO</t>
  </si>
  <si>
    <t>116-2020/INDECOPI-SRB</t>
  </si>
  <si>
    <t>22-2020/INV-SRB-INDECOPI-JUN</t>
  </si>
  <si>
    <t>UNIVERSIDAD NACIONAL AUTÓNOMA ALTOANDINA DE TARMA</t>
  </si>
  <si>
    <t>154-2020/INDECOPI-SRB</t>
  </si>
  <si>
    <t>23-2020/INV-SRB-INDECOPI-JUN</t>
  </si>
  <si>
    <t>UNIVERSIDAD NACIONAL AUTÓNOMA DE TAYACAJA “DANIEL HERNÁNDEZ MORILLO”</t>
  </si>
  <si>
    <t>159-2020/INDECOPI-SRB</t>
  </si>
  <si>
    <t>24-2020/INV-SRB-INDECOPI-JUN</t>
  </si>
  <si>
    <t>MUNICIPALIDAD DISTRITAL DE PUERTO BERMUDEZ</t>
  </si>
  <si>
    <t>161-2020/INDECOPI-SRB</t>
  </si>
  <si>
    <t>25-2020/INV-SRB-INDECOPI-JUN</t>
  </si>
  <si>
    <t>UNIVERSIDAD NACIONAL DANIEL ALCIDES CARRIÓN</t>
  </si>
  <si>
    <t>301-2020/INDECOPI-SRB</t>
  </si>
  <si>
    <t>26-2020/INV-SRB-INDECOPI-JUN</t>
  </si>
  <si>
    <t>COLEGIO DE ABOGADOS DE JUNÍN</t>
  </si>
  <si>
    <t>311-2020/INDECOPI-SRB</t>
  </si>
  <si>
    <t>7-2020/INV-SRB-INDECOPI-AQP</t>
  </si>
  <si>
    <t>342-2020/INDECOPI-SRB</t>
  </si>
  <si>
    <t>27-2020/INV-SRB-INDECOPI-JUN</t>
  </si>
  <si>
    <t>COLEGIO DE CONTADORES PÚBLICOS DE HUANCAVELICA</t>
  </si>
  <si>
    <t>351-2020/INDECOPI-SRB</t>
  </si>
  <si>
    <t>28-2020/INV-SRB-INDECOPI-JUN</t>
  </si>
  <si>
    <t>COLEGIO DE CONTADORES PÚBLICOS DE HUÁNUCO</t>
  </si>
  <si>
    <t>344-2020/INDECOPI-SRB</t>
  </si>
  <si>
    <t>29-2020/INV-SRB-INDECOPI-JUN</t>
  </si>
  <si>
    <t>COLEGIO DE CONTADORES PÚBLICOS DE JUNÍN</t>
  </si>
  <si>
    <t>345-2020/INDECOPI-SRB</t>
  </si>
  <si>
    <t>8-2020/INV-SRB-INDECOPI-AQP</t>
  </si>
  <si>
    <t>COLEGIO DE CONTADORES PÚBLICOS DE AREQUIPA</t>
  </si>
  <si>
    <t>347-2020/INDECOPI-SRB</t>
  </si>
  <si>
    <t>30-2020/INV-SRB-INDECOPI-JUN</t>
  </si>
  <si>
    <t>COLEGIO DE CONTADORES PÚBLICOS DE PASCO</t>
  </si>
  <si>
    <t>362-2020/INDECOPI-SRB</t>
  </si>
  <si>
    <t>32-2020/INV-SRB-INDECOPI-JUN</t>
  </si>
  <si>
    <t>MUNICIPALIDAD DISTRITAL DE SAUSA</t>
  </si>
  <si>
    <t>451-2020/INDECOPI-SRB</t>
  </si>
  <si>
    <t>10-2020/INV-SRB-INDECOPI-AQP</t>
  </si>
  <si>
    <t>MESA DE SALUD</t>
  </si>
  <si>
    <t>442-2020/INDECOPI-SRB</t>
  </si>
  <si>
    <t>1-2021/INV-SRB-INDECOPI-JUN</t>
  </si>
  <si>
    <t>UNIVERSIDAD NACIONAL DEL CENTRO DEL PERÚ</t>
  </si>
  <si>
    <t>7-2021/INDECOPI-SRB</t>
  </si>
  <si>
    <t>2-2021/INV-SRB-INDECOPI-JUN</t>
  </si>
  <si>
    <t>68-2021/INDECOPI-SRB</t>
  </si>
  <si>
    <t>3-2021/INV-SRB-INDECOPI-JUN</t>
  </si>
  <si>
    <t>96-2021/INDECOPI-SRB</t>
  </si>
  <si>
    <t>4-2021/INV-SRB-INDECOPI-JUN</t>
  </si>
  <si>
    <t>MUNICIPALIDAD DISTRITAL DE YANACANCHA EN PASCO</t>
  </si>
  <si>
    <t>135-2021/INDECOPI-SRB</t>
  </si>
  <si>
    <t>6-2021/INV-SRB-INDECOPI-JUN</t>
  </si>
  <si>
    <t>MUNICIPALIDAD DISTRITAL DE SAN RAFAEL EN AMBO</t>
  </si>
  <si>
    <t>178-2021/INDECOPI-SRB</t>
  </si>
  <si>
    <t>7-2021/INV-SRB-INDECOPI-JUN</t>
  </si>
  <si>
    <t>IBAI</t>
  </si>
  <si>
    <t>181-2021/INDECOPI-SRB</t>
  </si>
  <si>
    <t>8-2021/INV-SRB-INDECOPI-JUN</t>
  </si>
  <si>
    <t>186-2021/INDECOPI-SRB</t>
  </si>
  <si>
    <t>9-2021/INV-SRB-INDECOPI-JUN</t>
  </si>
  <si>
    <t>COLEGIO DE ABOGADOS DE PASCO</t>
  </si>
  <si>
    <t>196-2021/INDECOPI-SRB</t>
  </si>
  <si>
    <t>1-2021/INV-SRB-INDECOPI-ARE</t>
  </si>
  <si>
    <t>182-2021/INDECOPI-SRB</t>
  </si>
  <si>
    <t>2-2021/INV-SRB-INDECOPI-ARE</t>
  </si>
  <si>
    <t>197-2021/INDECOPI-SRB</t>
  </si>
  <si>
    <t>10-2021/INV-SRB-INDECOPI-JUN</t>
  </si>
  <si>
    <t>199-2021/INDECOPI-SRB</t>
  </si>
  <si>
    <t>12-2021/INV-SRB-INDECOPI-JUN</t>
  </si>
  <si>
    <t>286-2021/INDECOPI-SRB</t>
  </si>
  <si>
    <t>13-2021/INV-SRB-INDECOPI-JUN</t>
  </si>
  <si>
    <t>COLEGIO DE ABOGADOS DE HUÁNUCO</t>
  </si>
  <si>
    <t>331-2021/INDECOPI-SRB</t>
  </si>
  <si>
    <t>14-2021/INV-SRB-INDECOPI-JUN</t>
  </si>
  <si>
    <t>MUNICIPALIDAD PROVINCIAL DE HUAMALIES</t>
  </si>
  <si>
    <t>329-2021/INDECOPI-SRB</t>
  </si>
  <si>
    <t>1-2021/INV-SRB-INDECOPI-SAM</t>
  </si>
  <si>
    <t>MUNICIPALIDAD PROVINCIAL DE PICOTA</t>
  </si>
  <si>
    <t>795-2021/INDECOPI-SRB</t>
  </si>
  <si>
    <t>3-2021/INV-SRB-INDECOPI-ARE</t>
  </si>
  <si>
    <t>200-2020/INDECOPI-SRB</t>
  </si>
  <si>
    <t>4-2021/INV-SRB-INDECOPI-ARE</t>
  </si>
  <si>
    <t>231-2021/INDECOPI-SRB</t>
  </si>
  <si>
    <t>5-2021/INV-SRB-INDECOPI-ARE</t>
  </si>
  <si>
    <t>235-2021/INDECOPI-SRB</t>
  </si>
  <si>
    <t>1-2021/INV-SRB-INDECOPI-CUS</t>
  </si>
  <si>
    <t>MUNICIPALIDAD PROVINCIAL DE CUSCO</t>
  </si>
  <si>
    <t>468-2021/INDECOPI-SRB</t>
  </si>
  <si>
    <t>1-2021/INV-SRB-INDECOPI-CAJ</t>
  </si>
  <si>
    <t>MUNICIPALIDAD PROVINCIAL DE CAJAMARCA</t>
  </si>
  <si>
    <t>470-2021/INDECOPI-SRB</t>
  </si>
  <si>
    <t>1-2021/INV-SRB-INDECOPI-LAL</t>
  </si>
  <si>
    <t>499-2021/INDECOPI-SRB</t>
  </si>
  <si>
    <t>7-2021/INV-SRB-INDECOPI-ARE</t>
  </si>
  <si>
    <t>MUNICIPALIDAD PROVINCIAL DE LA UNION</t>
  </si>
  <si>
    <t>586-2021/INDECOPI-SRB</t>
  </si>
  <si>
    <t>2-2021/INV-SRB-INDECOPI-CUS</t>
  </si>
  <si>
    <t>MUNICIPALIDAD DISTRITAL DE WANCHAQ</t>
  </si>
  <si>
    <t>654-2021/INDECOPI-SRB</t>
  </si>
  <si>
    <t>1-2021/INV-SRB-INDECOPI-LAM</t>
  </si>
  <si>
    <t>MUNICIPALIDAD PROVINCIAL DE FERREÑAFE</t>
  </si>
  <si>
    <t>666-2021/INDECOPI-SRB</t>
  </si>
  <si>
    <t>2-2021/INV-SRB-INDECOPI-LAM</t>
  </si>
  <si>
    <t>MUNICIPALIDAD PROVINCIAL DE JAEN</t>
  </si>
  <si>
    <t>727-2021/INDECOPI-SRB</t>
  </si>
  <si>
    <t>8-2021/INV-SRB-INDECOPI-ARE</t>
  </si>
  <si>
    <t>ESTANDARIZACIÓN DE PROCEDIMIENTOS</t>
  </si>
  <si>
    <t>268-2021/INDECOPI-SRB</t>
  </si>
  <si>
    <t>9-2021/INV-SRB-INDECOPI-ARE</t>
  </si>
  <si>
    <t>257-2021/INDECOPI-SRB</t>
  </si>
  <si>
    <t>16-2021/INV-SRB-INDECOPI-JUN</t>
  </si>
  <si>
    <t>265-2021/INDECOPI-SRB</t>
  </si>
  <si>
    <t>17-2021/INV-SRB-INDECOPI-JUN</t>
  </si>
  <si>
    <t>271-2021/INDECOPI-SRB</t>
  </si>
  <si>
    <t>1-2021/INV-SRB-INDECOPI-PIU</t>
  </si>
  <si>
    <t>754-2021/INDECOPI-SRB</t>
  </si>
  <si>
    <t>2-2021/INV-SRB-INDECOPI-PIU</t>
  </si>
  <si>
    <t>768-2021/INDECOPI-SRB</t>
  </si>
  <si>
    <t>1-2021/INV-SRB-INDECOPI-TAC</t>
  </si>
  <si>
    <t>760-2021/INDECOPI-SRB</t>
  </si>
  <si>
    <t>3-2021/INV-SRB-INDECOPI-LAM</t>
  </si>
  <si>
    <t>MUNICIPALIDAD PROVINCIAL DE LAMBAYEQUE</t>
  </si>
  <si>
    <t>775-2021/INDECOPI-SRB</t>
  </si>
  <si>
    <t>2-2021/INV-SRB-INDECOPI-LAL</t>
  </si>
  <si>
    <t>794-2021/INDECOPI-SRB</t>
  </si>
  <si>
    <t>2-2021/INV-SRB-INDECOPI-CAJ</t>
  </si>
  <si>
    <t>COLEGIO DE ABOGADOS DE CAJAMARCA</t>
  </si>
  <si>
    <t>796-2021/INDECOPI-SRB</t>
  </si>
  <si>
    <t>3-2021/INV-SRB-INDECOPI-LAL</t>
  </si>
  <si>
    <t>MUNICIPALIDAD PROVINCIAL DE ASCOPE</t>
  </si>
  <si>
    <t>800-2021/INDECOPI-SRB</t>
  </si>
  <si>
    <t>4-2021/INV-SRB-INDECOPI-LAL</t>
  </si>
  <si>
    <t>810-2021/INDECOPI-SRB</t>
  </si>
  <si>
    <t>2-2021/INV-SRB-INDECOPI-SAM</t>
  </si>
  <si>
    <t>808-2021/INDECOPI-SRB</t>
  </si>
  <si>
    <t>3-2021/INV-SRB-INDECOPI-PIU</t>
  </si>
  <si>
    <t>836-2021/INDECOPI-SRB</t>
  </si>
  <si>
    <t>4-2021/INV-SRB-INDECOPI-PIU</t>
  </si>
  <si>
    <t>MUNICIPALIDAD PROVINCIAL DE ZARUMILLA</t>
  </si>
  <si>
    <t>842-2021/INDECOPI-SRB</t>
  </si>
  <si>
    <t>3-2021/INV-SRB-INDECOPI-SAM</t>
  </si>
  <si>
    <t>MUNICIPALIDAD PROVINCIAL DE EL DORADO</t>
  </si>
  <si>
    <t>844-2021/INDECOPI-SRB</t>
  </si>
  <si>
    <t>3-2021/INV-SRB-INDECOPI-TAC</t>
  </si>
  <si>
    <t>851-2021/INDECOPI-SRB</t>
  </si>
  <si>
    <t>1-2021/INV-SRB-INDECOPI-ICA</t>
  </si>
  <si>
    <t>MUNICIPALIDAD PROVINCIAL DE HUANTA</t>
  </si>
  <si>
    <t>856-2021/INDECOPI-SRB</t>
  </si>
  <si>
    <t>2-2021/INV-SRB-INDECOPI-ICA</t>
  </si>
  <si>
    <t>GOBIERNO REGIONAL DE ICA</t>
  </si>
  <si>
    <t>161-2019/INDECOPI-ICA</t>
  </si>
  <si>
    <t>10-2021/INV-SRB-INDECOPI-ARE</t>
  </si>
  <si>
    <t>273-2021/INDECOPI-SRB</t>
  </si>
  <si>
    <t>5-2021/INV-SRB-INDECOPI-LAL</t>
  </si>
  <si>
    <t>443-2021/INDECOPI-SRB</t>
  </si>
  <si>
    <t>4-2021/INV-SRB-INDECOPI-TAC</t>
  </si>
  <si>
    <t>409-2021/INDECOPI-SRB</t>
  </si>
  <si>
    <t>5-2021/INV-SRB-INDECOPI-TAC</t>
  </si>
  <si>
    <t>GOBIERNO REGIONAL DE TACNA</t>
  </si>
  <si>
    <t>516-2021/INDECOPI-SRB</t>
  </si>
  <si>
    <t>3-2021/INV-SRB-INDECOPI-CUS</t>
  </si>
  <si>
    <t>430-2021/INDECOPI-SRB</t>
  </si>
  <si>
    <t>2-2022/INV-SRB</t>
  </si>
  <si>
    <t>GOBIERNO REGIONAL DE LA LIBERTAD</t>
  </si>
  <si>
    <t>407-2022/INDECOPI-CEB</t>
  </si>
  <si>
    <t>6-2022/INV-SRB</t>
  </si>
  <si>
    <t>MUNICIPALIDAD PROVINCIAL DE MARAÑON</t>
  </si>
  <si>
    <t>268-2022/INDECOPI-SRB</t>
  </si>
  <si>
    <t>7-2022/INV-SRB</t>
  </si>
  <si>
    <t>286-2022/INDECOPI-SRB</t>
  </si>
  <si>
    <t>8-2022/INV-SRB</t>
  </si>
  <si>
    <t>MUNICIPALIDAD PROVINCIAL DE HUAYLAS</t>
  </si>
  <si>
    <t>287-2022/INDECOPI-SRB</t>
  </si>
  <si>
    <t>9-2022/INV-SRB</t>
  </si>
  <si>
    <t>GOBIERNO REGIONAL DE CUSCO</t>
  </si>
  <si>
    <t>334-2022/INDECOPI-SRB</t>
  </si>
  <si>
    <t>11-2022/INV-SRB</t>
  </si>
  <si>
    <t>MUNICIPALIDAD PROVINCIAL DE SAN MIGUEL</t>
  </si>
  <si>
    <t>349-2022/INDECOPI-SRB</t>
  </si>
  <si>
    <t>12-2022/INV-SRB</t>
  </si>
  <si>
    <t>MUNICIPALIDAD PROVINCIAL DE CHICLAYO</t>
  </si>
  <si>
    <t>351-2022/INDECOPI-SRB</t>
  </si>
  <si>
    <t>13-2022/INV-SRB</t>
  </si>
  <si>
    <t>MUNICIPALIDAD PROVINCIAL DE SANTA</t>
  </si>
  <si>
    <t>361-2022/INDECOPI-SRB</t>
  </si>
  <si>
    <t>14-2022/INV-SRB</t>
  </si>
  <si>
    <t>360-2022/INDECOPI-SRB</t>
  </si>
  <si>
    <t>15-2022/INV-SRB</t>
  </si>
  <si>
    <t>MUNICIPALIDAD PROVINCIAL DE HUARMEY</t>
  </si>
  <si>
    <t>353-2022/INDECOPI-SRB</t>
  </si>
  <si>
    <t>18-2022/INV-SRB</t>
  </si>
  <si>
    <t>359-2022/INDECOPI-SRB</t>
  </si>
  <si>
    <t>19-2022/INV-SRB</t>
  </si>
  <si>
    <t>MUNICIPALIDAD PROVINCIAL DE CAJABAMBA</t>
  </si>
  <si>
    <t>355-2022/INDECOPI-SRB</t>
  </si>
  <si>
    <t>30-2022/INV-SRB</t>
  </si>
  <si>
    <t>454-2022/INDECOPI-SRB</t>
  </si>
  <si>
    <t>33-2022/INV-SRB</t>
  </si>
  <si>
    <t>MUNICIPALIDAD PROVINCIAL DE SANCHEZ CARRION</t>
  </si>
  <si>
    <t>457-2022/INDECOPI-SRB</t>
  </si>
  <si>
    <t>3-2021/INV-SRB-ICA</t>
  </si>
  <si>
    <t>527-2021/INDECOPI-SRB</t>
  </si>
  <si>
    <t>48-2022/INV-SRB</t>
  </si>
  <si>
    <t>MUNICIPALIDAD PROVINCIAL DE YUNGAY</t>
  </si>
  <si>
    <t>653-2022/INDECOPI-SRB</t>
  </si>
  <si>
    <t>49-2022/INV-SRB</t>
  </si>
  <si>
    <t>654-2022/SRB-INDECOPI</t>
  </si>
  <si>
    <t>98-2022/INV-SRB</t>
  </si>
  <si>
    <t>708-2022/INDECOPI-SRB</t>
  </si>
  <si>
    <t>62-2022/INV-SRB</t>
  </si>
  <si>
    <t>MUNICIPALIDAD DISTRITAL DE BELEN EN MAYNAS</t>
  </si>
  <si>
    <t>864-2022/INDECOPI-SRB</t>
  </si>
  <si>
    <t>TIPO 2</t>
  </si>
  <si>
    <t>146-2022/INV-SRB</t>
  </si>
  <si>
    <t>MUNICIPALIDAD PROVINCIAL DE LAMAS</t>
  </si>
  <si>
    <t>1031-2022/INDECOPI-SRB</t>
  </si>
  <si>
    <t>158-2022/INV-SRB</t>
  </si>
  <si>
    <t>MUNICIPALIDAD PROVINCIAL DE EL COLLAO</t>
  </si>
  <si>
    <t>964-2022/INDECOPI-SRB</t>
  </si>
  <si>
    <t>COUNTUNIQUE de ENTIDAD</t>
  </si>
  <si>
    <t>Suma total</t>
  </si>
  <si>
    <t>SUPERVISIÓN</t>
  </si>
  <si>
    <t>INFORMACIÓN GENERAL</t>
  </si>
  <si>
    <t>N° SUPERVISIÓN</t>
  </si>
  <si>
    <t>NOMBRE O RAZÓN SOCIAL</t>
  </si>
  <si>
    <t>N° BB IDENTIFICADAS</t>
  </si>
  <si>
    <t>N° BARRERAS ELIMINADAS</t>
  </si>
  <si>
    <t>N° PROCEDIMIENTOS ELIMINADOS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</si>
</sst>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d/m/yyyy"/>
    <numFmt numFmtId="165" formatCode="m/d/yyyy\ h:mm:ss"/>
    <numFmt numFmtId="166" formatCode="d\.m"/>
    <numFmt numFmtId="167" formatCode="d/mm/yyyy"/>
    <numFmt numFmtId="169" formatCode="[$S/-280A]#,##0.00"/>
    <numFmt numFmtId="172" formatCode="[$S/-280A]#,##0"/>
    <numFmt numFmtId="173" formatCode="[$$-409]#,##0.00"/>
    <numFmt numFmtId="178" formatCode="[$$-409]#,##0"/>
  </numFmts>
  <fonts count="12">
    <font>
      <sz val="10"/>
      <color rgb="FF000000"/>
      <name val="Arial"/>
      <scheme val="minor"/>
    </font>
    <font>
      <b/>
      <sz val="9"/>
      <color rgb="FFFFFFFF"/>
      <name val="Arial"/>
    </font>
    <font>
      <b/>
      <sz val="9"/>
      <color theme="0"/>
      <name val="Arial"/>
    </font>
    <font>
      <b/>
      <sz val="9"/>
      <color theme="1"/>
      <name val="Arial"/>
    </font>
    <font>
      <sz val="9"/>
      <color theme="1"/>
      <name val="Arial"/>
      <scheme val="minor"/>
    </font>
    <font>
      <sz val="9"/>
      <color rgb="FF000000"/>
      <name val="Arial"/>
    </font>
    <font>
      <sz val="9"/>
      <color theme="1"/>
      <name val="Arial"/>
    </font>
    <font>
      <sz val="10"/>
      <color theme="1"/>
      <name val="Arial"/>
      <scheme val="minor"/>
    </font>
    <font>
      <sz val="11"/>
      <color rgb="FF000000"/>
      <name val="Inconsolata"/>
    </font>
    <font>
      <b/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</fonts>
  <fills count="15">
    <fill>
      <patternFill patternType="none"/>
    </fill>
    <fill>
      <patternFill patternType="gray125"/>
    </fill>
    <fill>
      <patternFill patternType="solid">
        <fgColor rgb="FF990033"/>
        <bgColor rgb="FF990033"/>
      </patternFill>
    </fill>
    <fill>
      <patternFill patternType="solid">
        <fgColor rgb="FF20124D"/>
        <bgColor rgb="FF20124D"/>
      </patternFill>
    </fill>
    <fill>
      <patternFill patternType="solid">
        <fgColor rgb="FFED7D31"/>
        <bgColor rgb="FFED7D31"/>
      </patternFill>
    </fill>
    <fill>
      <patternFill patternType="solid">
        <fgColor theme="6"/>
        <bgColor theme="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E69138"/>
        <bgColor rgb="FFE69138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theme="1"/>
        <bgColor theme="1"/>
      </patternFill>
    </fill>
    <fill>
      <patternFill patternType="solid">
        <fgColor rgb="FF000000"/>
        <bgColor rgb="FF000000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3" fontId="4" fillId="6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horizontal="center" vertical="center" wrapText="1"/>
    </xf>
    <xf numFmtId="3" fontId="4" fillId="7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164" fontId="6" fillId="7" borderId="1" xfId="0" applyNumberFormat="1" applyFont="1" applyFill="1" applyBorder="1" applyAlignment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 wrapText="1"/>
    </xf>
    <xf numFmtId="3" fontId="5" fillId="7" borderId="1" xfId="0" applyNumberFormat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2" fontId="5" fillId="10" borderId="1" xfId="0" applyNumberFormat="1" applyFont="1" applyFill="1" applyBorder="1" applyAlignment="1">
      <alignment horizontal="center" vertical="center" wrapText="1"/>
    </xf>
    <xf numFmtId="14" fontId="4" fillId="7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 applyAlignment="1">
      <alignment horizontal="center" wrapText="1"/>
    </xf>
    <xf numFmtId="0" fontId="7" fillId="0" borderId="1" xfId="0" applyFont="1" applyBorder="1"/>
    <xf numFmtId="14" fontId="7" fillId="0" borderId="1" xfId="0" applyNumberFormat="1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center" wrapText="1"/>
    </xf>
    <xf numFmtId="0" fontId="8" fillId="6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5" fontId="7" fillId="0" borderId="0" xfId="0" applyNumberFormat="1" applyFont="1"/>
    <xf numFmtId="14" fontId="7" fillId="0" borderId="0" xfId="0" applyNumberFormat="1" applyFont="1"/>
    <xf numFmtId="166" fontId="7" fillId="0" borderId="0" xfId="0" applyNumberFormat="1" applyFont="1" applyAlignment="1">
      <alignment horizontal="center" vertical="center" wrapText="1"/>
    </xf>
    <xf numFmtId="0" fontId="7" fillId="11" borderId="0" xfId="0" applyFont="1" applyFill="1"/>
    <xf numFmtId="0" fontId="5" fillId="7" borderId="0" xfId="0" applyFont="1" applyFill="1" applyAlignment="1">
      <alignment horizontal="center" vertical="center" wrapText="1"/>
    </xf>
    <xf numFmtId="0" fontId="1" fillId="12" borderId="0" xfId="0" applyFont="1" applyFill="1" applyAlignment="1">
      <alignment horizontal="center" vertical="center" wrapText="1"/>
    </xf>
    <xf numFmtId="0" fontId="1" fillId="13" borderId="0" xfId="0" applyFont="1" applyFill="1" applyAlignment="1">
      <alignment horizontal="center"/>
    </xf>
    <xf numFmtId="0" fontId="1" fillId="12" borderId="0" xfId="0" applyFont="1" applyFill="1" applyAlignment="1">
      <alignment horizontal="center" vertical="center"/>
    </xf>
    <xf numFmtId="167" fontId="7" fillId="0" borderId="0" xfId="0" applyNumberFormat="1" applyFont="1"/>
    <xf numFmtId="3" fontId="6" fillId="6" borderId="0" xfId="0" applyNumberFormat="1" applyFont="1" applyFill="1" applyAlignment="1">
      <alignment horizontal="center"/>
    </xf>
    <xf numFmtId="0" fontId="6" fillId="6" borderId="0" xfId="0" applyFont="1" applyFill="1" applyAlignment="1">
      <alignment horizontal="center"/>
    </xf>
    <xf numFmtId="167" fontId="7" fillId="11" borderId="0" xfId="0" applyNumberFormat="1" applyFont="1" applyFill="1"/>
    <xf numFmtId="0" fontId="10" fillId="6" borderId="0" xfId="0" applyFont="1" applyFill="1"/>
    <xf numFmtId="1" fontId="5" fillId="10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169" fontId="1" fillId="14" borderId="1" xfId="0" applyNumberFormat="1" applyFont="1" applyFill="1" applyBorder="1" applyAlignment="1">
      <alignment horizontal="center" vertical="center" wrapText="1"/>
    </xf>
    <xf numFmtId="169" fontId="4" fillId="7" borderId="1" xfId="0" applyNumberFormat="1" applyFont="1" applyFill="1" applyBorder="1" applyAlignment="1">
      <alignment horizontal="center" vertical="center" wrapText="1"/>
    </xf>
    <xf numFmtId="169" fontId="0" fillId="0" borderId="0" xfId="0" applyNumberFormat="1"/>
    <xf numFmtId="172" fontId="4" fillId="7" borderId="1" xfId="0" applyNumberFormat="1" applyFont="1" applyFill="1" applyBorder="1" applyAlignment="1">
      <alignment horizontal="center" vertical="center" wrapText="1"/>
    </xf>
    <xf numFmtId="173" fontId="1" fillId="14" borderId="1" xfId="0" applyNumberFormat="1" applyFont="1" applyFill="1" applyBorder="1" applyAlignment="1">
      <alignment horizontal="center" vertical="center" wrapText="1"/>
    </xf>
    <xf numFmtId="173" fontId="4" fillId="7" borderId="1" xfId="0" applyNumberFormat="1" applyFont="1" applyFill="1" applyBorder="1" applyAlignment="1">
      <alignment horizontal="center" vertical="center" wrapText="1"/>
    </xf>
    <xf numFmtId="173" fontId="0" fillId="0" borderId="0" xfId="0" applyNumberFormat="1"/>
    <xf numFmtId="178" fontId="4" fillId="7" borderId="1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/>
    <xf numFmtId="0" fontId="11" fillId="0" borderId="4" xfId="0" applyFont="1" applyBorder="1" applyAlignment="1"/>
  </cellXfs>
  <cellStyles count="1">
    <cellStyle name="Normal" xfId="0" builtinId="0"/>
  </cellStyles>
  <dxfs count="34"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</dxfs>
  <tableStyles count="17">
    <tableStyle name="PEVBB-style" pivot="0" count="2" xr9:uid="{00000000-0011-0000-FFFF-FFFF00000000}">
      <tableStyleElement type="firstRowStripe" dxfId="33"/>
      <tableStyleElement type="secondRowStripe" dxfId="32"/>
    </tableStyle>
    <tableStyle name="PEVBB-style 2" pivot="0" count="2" xr9:uid="{00000000-0011-0000-FFFF-FFFF01000000}">
      <tableStyleElement type="firstRowStripe" dxfId="31"/>
      <tableStyleElement type="secondRowStripe" dxfId="30"/>
    </tableStyle>
    <tableStyle name="BE-style" pivot="0" count="2" xr9:uid="{00000000-0011-0000-FFFF-FFFF02000000}">
      <tableStyleElement type="firstRowStripe" dxfId="29"/>
      <tableStyleElement type="secondRowStripe" dxfId="28"/>
    </tableStyle>
    <tableStyle name="DATA2-style" pivot="0" count="2" xr9:uid="{00000000-0011-0000-FFFF-FFFF03000000}">
      <tableStyleElement type="firstRowStripe" dxfId="27"/>
      <tableStyleElement type="secondRowStripe" dxfId="26"/>
    </tableStyle>
    <tableStyle name="DATA2-style 2" pivot="0" count="2" xr9:uid="{00000000-0011-0000-FFFF-FFFF04000000}">
      <tableStyleElement type="firstRowStripe" dxfId="25"/>
      <tableStyleElement type="secondRowStripe" dxfId="24"/>
    </tableStyle>
    <tableStyle name="DATA2-style 3" pivot="0" count="2" xr9:uid="{00000000-0011-0000-FFFF-FFFF05000000}">
      <tableStyleElement type="firstRowStripe" dxfId="23"/>
      <tableStyleElement type="secondRowStripe" dxfId="22"/>
    </tableStyle>
    <tableStyle name="DATA2-style 4" pivot="0" count="2" xr9:uid="{00000000-0011-0000-FFFF-FFFF06000000}">
      <tableStyleElement type="firstRowStripe" dxfId="21"/>
      <tableStyleElement type="secondRowStripe" dxfId="20"/>
    </tableStyle>
    <tableStyle name="DATA2-style 5" pivot="0" count="2" xr9:uid="{00000000-0011-0000-FFFF-FFFF07000000}">
      <tableStyleElement type="firstRowStripe" dxfId="19"/>
      <tableStyleElement type="secondRowStripe" dxfId="18"/>
    </tableStyle>
    <tableStyle name="DATA2-style 6" pivot="0" count="2" xr9:uid="{00000000-0011-0000-FFFF-FFFF08000000}">
      <tableStyleElement type="firstRowStripe" dxfId="17"/>
      <tableStyleElement type="secondRowStripe" dxfId="16"/>
    </tableStyle>
    <tableStyle name="Hoja 6-style" pivot="0" count="2" xr9:uid="{00000000-0011-0000-FFFF-FFFF09000000}">
      <tableStyleElement type="firstRowStripe" dxfId="15"/>
      <tableStyleElement type="secondRowStripe" dxfId="14"/>
    </tableStyle>
    <tableStyle name="DATA3-style" pivot="0" count="2" xr9:uid="{00000000-0011-0000-FFFF-FFFF0A000000}">
      <tableStyleElement type="firstRowStripe" dxfId="13"/>
      <tableStyleElement type="secondRowStripe" dxfId="12"/>
    </tableStyle>
    <tableStyle name="DATA3-style 2" pivot="0" count="2" xr9:uid="{00000000-0011-0000-FFFF-FFFF0B000000}">
      <tableStyleElement type="firstRowStripe" dxfId="11"/>
      <tableStyleElement type="secondRowStripe" dxfId="10"/>
    </tableStyle>
    <tableStyle name="DATA3-style 3" pivot="0" count="2" xr9:uid="{00000000-0011-0000-FFFF-FFFF0C000000}">
      <tableStyleElement type="firstRowStripe" dxfId="9"/>
      <tableStyleElement type="secondRowStripe" dxfId="8"/>
    </tableStyle>
    <tableStyle name="DATA3-style 4" pivot="0" count="2" xr9:uid="{00000000-0011-0000-FFFF-FFFF0D000000}">
      <tableStyleElement type="firstRowStripe" dxfId="7"/>
      <tableStyleElement type="secondRowStripe" dxfId="6"/>
    </tableStyle>
    <tableStyle name="DATA3-style 5" pivot="0" count="2" xr9:uid="{00000000-0011-0000-FFFF-FFFF0E000000}">
      <tableStyleElement type="firstRowStripe" dxfId="5"/>
      <tableStyleElement type="secondRowStripe" dxfId="4"/>
    </tableStyle>
    <tableStyle name="DATA3-style 6" pivot="0" count="2" xr9:uid="{00000000-0011-0000-FFFF-FFFF0F000000}">
      <tableStyleElement type="firstRowStripe" dxfId="3"/>
      <tableStyleElement type="secondRowStripe" dxfId="2"/>
    </tableStyle>
    <tableStyle name="Grupo 1 Trat2-style" pivot="0" count="2" xr9:uid="{00000000-0011-0000-FFFF-FFFF1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H2:I2" headerRowCount="0">
  <tableColumns count="2">
    <tableColumn id="1" xr3:uid="{00000000-0010-0000-0000-000001000000}" name="Column1"/>
    <tableColumn id="2" xr3:uid="{00000000-0010-0000-0000-000002000000}" name="Column2"/>
  </tableColumns>
  <tableStyleInfo name="PEVBB-style" showFirstColumn="1" showLastColumn="1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_10" displayName="Table_10" ref="B11:D13" headerRowCount="0">
  <tableColumns count="3">
    <tableColumn id="1" xr3:uid="{00000000-0010-0000-0900-000001000000}" name="Column1"/>
    <tableColumn id="2" xr3:uid="{00000000-0010-0000-0900-000002000000}" name="Column2"/>
    <tableColumn id="3" xr3:uid="{00000000-0010-0000-0900-000003000000}" name="Column3"/>
  </tableColumns>
  <tableStyleInfo name="Hoja 6-style" showFirstColumn="1" showLastColumn="1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_11" displayName="Table_11" ref="H2:I700" headerRowCount="0">
  <tableColumns count="2">
    <tableColumn id="1" xr3:uid="{00000000-0010-0000-0A00-000001000000}" name="Column1"/>
    <tableColumn id="2" xr3:uid="{00000000-0010-0000-0A00-000002000000}" name="Column2"/>
  </tableColumns>
  <tableStyleInfo name="DATA3-style" showFirstColumn="1" showLastColumn="1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_12" displayName="Table_12" ref="J2:J163" headerRowCount="0">
  <tableColumns count="1">
    <tableColumn id="1" xr3:uid="{00000000-0010-0000-0B00-000001000000}" name="Column1"/>
  </tableColumns>
  <tableStyleInfo name="DATA3-style 2" showFirstColumn="1" showLastColumn="1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le_13" displayName="Table_13" ref="K2:N163" headerRowCount="0">
  <tableColumns count="4">
    <tableColumn id="1" xr3:uid="{00000000-0010-0000-0C00-000001000000}" name="Column1"/>
    <tableColumn id="2" xr3:uid="{00000000-0010-0000-0C00-000002000000}" name="Column2"/>
    <tableColumn id="3" xr3:uid="{00000000-0010-0000-0C00-000003000000}" name="Column3"/>
    <tableColumn id="4" xr3:uid="{00000000-0010-0000-0C00-000004000000}" name="Column4"/>
  </tableColumns>
  <tableStyleInfo name="DATA3-style 3" showFirstColumn="1" showLastColumn="1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le_14" displayName="Table_14" ref="O2:P163" headerRowCount="0">
  <tableColumns count="2">
    <tableColumn id="1" xr3:uid="{00000000-0010-0000-0D00-000001000000}" name="Column1"/>
    <tableColumn id="2" xr3:uid="{00000000-0010-0000-0D00-000002000000}" name="Column2"/>
  </tableColumns>
  <tableStyleInfo name="DATA3-style 4" showFirstColumn="1" showLastColumn="1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le_15" displayName="Table_15" ref="Q2:X163" headerRowCount="0">
  <tableColumns count="8">
    <tableColumn id="1" xr3:uid="{00000000-0010-0000-0E00-000001000000}" name="Column1"/>
    <tableColumn id="2" xr3:uid="{00000000-0010-0000-0E00-000002000000}" name="Column2"/>
    <tableColumn id="3" xr3:uid="{00000000-0010-0000-0E00-000003000000}" name="Column3"/>
    <tableColumn id="4" xr3:uid="{00000000-0010-0000-0E00-000004000000}" name="Column4"/>
    <tableColumn id="5" xr3:uid="{00000000-0010-0000-0E00-000005000000}" name="Column5"/>
    <tableColumn id="6" xr3:uid="{00000000-0010-0000-0E00-000006000000}" name="Column6"/>
    <tableColumn id="7" xr3:uid="{00000000-0010-0000-0E00-000007000000}" name="Column7"/>
    <tableColumn id="8" xr3:uid="{00000000-0010-0000-0E00-000008000000}" name="Column8"/>
  </tableColumns>
  <tableStyleInfo name="DATA3-style 5" showFirstColumn="1" showLastColumn="1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_16" displayName="Table_16" ref="L164:N164" headerRowCount="0">
  <tableColumns count="3">
    <tableColumn id="1" xr3:uid="{00000000-0010-0000-0F00-000001000000}" name="Column1"/>
    <tableColumn id="2" xr3:uid="{00000000-0010-0000-0F00-000002000000}" name="Column2"/>
    <tableColumn id="3" xr3:uid="{00000000-0010-0000-0F00-000003000000}" name="Column3"/>
  </tableColumns>
  <tableStyleInfo name="DATA3-style 6" showFirstColumn="1" showLastColumn="1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le_17" displayName="Table_17" ref="V3:V1000" headerRowCount="0">
  <tableColumns count="1">
    <tableColumn id="1" xr3:uid="{00000000-0010-0000-1000-000001000000}" name="Column1"/>
  </tableColumns>
  <tableStyleInfo name="Grupo 1 Trat2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H3:I503" headerRowCount="0">
  <tableColumns count="2">
    <tableColumn id="1" xr3:uid="{00000000-0010-0000-0100-000001000000}" name="Column1"/>
    <tableColumn id="2" xr3:uid="{00000000-0010-0000-0100-000002000000}" name="Column2"/>
  </tableColumns>
  <tableStyleInfo name="PEVBB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E2:E502" headerRowCount="0">
  <tableColumns count="1">
    <tableColumn id="1" xr3:uid="{00000000-0010-0000-0200-000001000000}" name="Column1"/>
  </tableColumns>
  <tableStyleInfo name="BE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H2:I700" headerRowCount="0">
  <tableColumns count="2">
    <tableColumn id="1" xr3:uid="{00000000-0010-0000-0300-000001000000}" name="Column1"/>
    <tableColumn id="2" xr3:uid="{00000000-0010-0000-0300-000002000000}" name="Column2"/>
  </tableColumns>
  <tableStyleInfo name="DATA2-style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J2:J163" headerRowCount="0">
  <tableColumns count="1">
    <tableColumn id="1" xr3:uid="{00000000-0010-0000-0400-000001000000}" name="Column1"/>
  </tableColumns>
  <tableStyleInfo name="DATA2-style 2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6" displayName="Table_6" ref="K2:N163" headerRowCount="0">
  <tableColumns count="4">
    <tableColumn id="1" xr3:uid="{00000000-0010-0000-0500-000001000000}" name="Column1"/>
    <tableColumn id="2" xr3:uid="{00000000-0010-0000-0500-000002000000}" name="Column2"/>
    <tableColumn id="3" xr3:uid="{00000000-0010-0000-0500-000003000000}" name="Column3"/>
    <tableColumn id="4" xr3:uid="{00000000-0010-0000-0500-000004000000}" name="Column4"/>
  </tableColumns>
  <tableStyleInfo name="DATA2-style 3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7" displayName="Table_7" ref="O2:P163" headerRowCount="0">
  <tableColumns count="2">
    <tableColumn id="1" xr3:uid="{00000000-0010-0000-0600-000001000000}" name="Column1"/>
    <tableColumn id="2" xr3:uid="{00000000-0010-0000-0600-000002000000}" name="Column2"/>
  </tableColumns>
  <tableStyleInfo name="DATA2-style 4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_8" displayName="Table_8" ref="Q2:X163" headerRowCount="0">
  <tableColumns count="8">
    <tableColumn id="1" xr3:uid="{00000000-0010-0000-0700-000001000000}" name="Column1"/>
    <tableColumn id="2" xr3:uid="{00000000-0010-0000-0700-000002000000}" name="Column2"/>
    <tableColumn id="3" xr3:uid="{00000000-0010-0000-0700-000003000000}" name="Column3"/>
    <tableColumn id="4" xr3:uid="{00000000-0010-0000-0700-000004000000}" name="Column4"/>
    <tableColumn id="5" xr3:uid="{00000000-0010-0000-0700-000005000000}" name="Column5"/>
    <tableColumn id="6" xr3:uid="{00000000-0010-0000-0700-000006000000}" name="Column6"/>
    <tableColumn id="7" xr3:uid="{00000000-0010-0000-0700-000007000000}" name="Column7"/>
    <tableColumn id="8" xr3:uid="{00000000-0010-0000-0700-000008000000}" name="Column8"/>
  </tableColumns>
  <tableStyleInfo name="DATA2-style 5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_9" displayName="Table_9" ref="L164:N164" headerRowCount="0">
  <tableColumns count="3">
    <tableColumn id="1" xr3:uid="{00000000-0010-0000-0800-000001000000}" name="Column1"/>
    <tableColumn id="2" xr3:uid="{00000000-0010-0000-0800-000002000000}" name="Column2"/>
    <tableColumn id="3" xr3:uid="{00000000-0010-0000-0800-000003000000}" name="Column3"/>
  </tableColumns>
  <tableStyleInfo name="DATA2-style 6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table" Target="../tables/table5.xml"/><Relationship Id="rId7" Type="http://schemas.openxmlformats.org/officeDocument/2006/relationships/table" Target="../tables/table9.xml"/><Relationship Id="rId2" Type="http://schemas.openxmlformats.org/officeDocument/2006/relationships/table" Target="../tables/table4.xml"/><Relationship Id="rId1" Type="http://schemas.openxmlformats.org/officeDocument/2006/relationships/vmlDrawing" Target="../drawings/vmlDrawing1.v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table" Target="../tables/table12.xml"/><Relationship Id="rId7" Type="http://schemas.openxmlformats.org/officeDocument/2006/relationships/table" Target="../tables/table16.xml"/><Relationship Id="rId2" Type="http://schemas.openxmlformats.org/officeDocument/2006/relationships/table" Target="../tables/table11.xml"/><Relationship Id="rId1" Type="http://schemas.openxmlformats.org/officeDocument/2006/relationships/vmlDrawing" Target="../drawings/vmlDrawing2.vml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table" Target="../tables/table17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503"/>
  <sheetViews>
    <sheetView workbookViewId="0">
      <pane ySplit="1" topLeftCell="B3" activePane="bottomLeft" state="frozen"/>
      <selection pane="bottomLeft" activeCell="B3" sqref="B3"/>
    </sheetView>
  </sheetViews>
  <sheetFormatPr defaultColWidth="12.5703125" defaultRowHeight="15.75" customHeight="1"/>
  <cols>
    <col min="1" max="1" width="22" customWidth="1"/>
    <col min="2" max="2" width="30.85546875" customWidth="1"/>
    <col min="4" max="4" width="14.5703125" customWidth="1"/>
    <col min="5" max="5" width="14.85546875" customWidth="1"/>
    <col min="6" max="6" width="16.7109375" customWidth="1"/>
    <col min="7" max="7" width="15" customWidth="1"/>
    <col min="8" max="8" width="17.28515625" customWidth="1"/>
    <col min="10" max="10" width="22.42578125" customWidth="1"/>
    <col min="11" max="11" width="13" customWidth="1"/>
    <col min="12" max="12" width="11.42578125" customWidth="1"/>
    <col min="13" max="13" width="14.85546875" customWidth="1"/>
    <col min="14" max="14" width="16.5703125" customWidth="1"/>
    <col min="15" max="15" width="16" customWidth="1"/>
    <col min="16" max="16" width="18" customWidth="1"/>
    <col min="17" max="17" width="17.85546875" customWidth="1"/>
    <col min="18" max="18" width="16.28515625" customWidth="1"/>
  </cols>
  <sheetData>
    <row r="1" spans="1:18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5" t="s">
        <v>9</v>
      </c>
      <c r="K1" s="6" t="s">
        <v>10</v>
      </c>
      <c r="L1" s="6" t="s">
        <v>11</v>
      </c>
      <c r="M1" s="6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</row>
    <row r="2" spans="1:18">
      <c r="A2" s="8" t="s">
        <v>18</v>
      </c>
      <c r="B2" s="8" t="s">
        <v>19</v>
      </c>
      <c r="C2" s="8" t="s">
        <v>20</v>
      </c>
      <c r="D2" s="8" t="s">
        <v>21</v>
      </c>
      <c r="E2" s="9" t="s">
        <v>22</v>
      </c>
      <c r="F2" s="8" t="s">
        <v>23</v>
      </c>
      <c r="G2" s="9" t="s">
        <v>24</v>
      </c>
      <c r="H2" s="8" t="s">
        <v>25</v>
      </c>
      <c r="I2" s="8" t="s">
        <v>25</v>
      </c>
      <c r="J2" s="8" t="s">
        <v>26</v>
      </c>
      <c r="K2" s="10">
        <v>44687</v>
      </c>
      <c r="L2" s="8">
        <v>2022</v>
      </c>
      <c r="M2" s="11">
        <v>36</v>
      </c>
      <c r="N2" s="10">
        <v>44768</v>
      </c>
      <c r="O2" s="8">
        <v>2022</v>
      </c>
      <c r="P2" s="11">
        <v>20</v>
      </c>
      <c r="Q2" s="11">
        <v>2</v>
      </c>
      <c r="R2" s="9">
        <v>55</v>
      </c>
    </row>
    <row r="3" spans="1:18">
      <c r="A3" s="12" t="s">
        <v>27</v>
      </c>
      <c r="B3" s="12" t="s">
        <v>28</v>
      </c>
      <c r="C3" s="12" t="s">
        <v>20</v>
      </c>
      <c r="D3" s="12" t="s">
        <v>21</v>
      </c>
      <c r="E3" s="13" t="s">
        <v>29</v>
      </c>
      <c r="F3" s="12" t="s">
        <v>23</v>
      </c>
      <c r="G3" s="13" t="s">
        <v>24</v>
      </c>
      <c r="H3" s="12" t="s">
        <v>30</v>
      </c>
      <c r="I3" s="12" t="s">
        <v>30</v>
      </c>
      <c r="J3" s="12" t="s">
        <v>31</v>
      </c>
      <c r="K3" s="14">
        <v>44742</v>
      </c>
      <c r="L3" s="12">
        <v>2022</v>
      </c>
      <c r="M3" s="15">
        <v>23</v>
      </c>
      <c r="N3" s="14">
        <v>44812</v>
      </c>
      <c r="O3" s="12">
        <v>2022</v>
      </c>
      <c r="P3" s="15">
        <v>22</v>
      </c>
      <c r="Q3" s="15">
        <v>5</v>
      </c>
      <c r="R3" s="13">
        <v>47</v>
      </c>
    </row>
    <row r="4" spans="1:18">
      <c r="A4" s="12" t="s">
        <v>32</v>
      </c>
      <c r="B4" s="12" t="s">
        <v>28</v>
      </c>
      <c r="C4" s="12" t="s">
        <v>20</v>
      </c>
      <c r="D4" s="12" t="s">
        <v>21</v>
      </c>
      <c r="E4" s="13" t="s">
        <v>29</v>
      </c>
      <c r="F4" s="12" t="s">
        <v>23</v>
      </c>
      <c r="G4" s="13" t="s">
        <v>24</v>
      </c>
      <c r="H4" s="12" t="s">
        <v>30</v>
      </c>
      <c r="I4" s="12" t="s">
        <v>30</v>
      </c>
      <c r="J4" s="12" t="s">
        <v>33</v>
      </c>
      <c r="K4" s="14">
        <v>44742</v>
      </c>
      <c r="L4" s="12">
        <v>2022</v>
      </c>
      <c r="M4" s="15">
        <v>25</v>
      </c>
      <c r="N4" s="14">
        <v>44812</v>
      </c>
      <c r="O4" s="12">
        <v>2022</v>
      </c>
      <c r="P4" s="15">
        <v>25</v>
      </c>
      <c r="Q4" s="15">
        <v>4</v>
      </c>
      <c r="R4" s="13">
        <v>47</v>
      </c>
    </row>
    <row r="5" spans="1:18">
      <c r="A5" s="12" t="s">
        <v>34</v>
      </c>
      <c r="B5" s="12" t="s">
        <v>35</v>
      </c>
      <c r="C5" s="12" t="s">
        <v>20</v>
      </c>
      <c r="D5" s="12" t="s">
        <v>21</v>
      </c>
      <c r="E5" s="13" t="s">
        <v>29</v>
      </c>
      <c r="F5" s="12" t="s">
        <v>23</v>
      </c>
      <c r="G5" s="13" t="s">
        <v>24</v>
      </c>
      <c r="H5" s="12" t="s">
        <v>36</v>
      </c>
      <c r="I5" s="12" t="s">
        <v>37</v>
      </c>
      <c r="J5" s="12" t="s">
        <v>38</v>
      </c>
      <c r="K5" s="14">
        <v>44729</v>
      </c>
      <c r="L5" s="12">
        <v>2022</v>
      </c>
      <c r="M5" s="15">
        <v>4</v>
      </c>
      <c r="N5" s="14">
        <v>44748</v>
      </c>
      <c r="O5" s="12">
        <v>2022</v>
      </c>
      <c r="P5" s="15">
        <v>4</v>
      </c>
      <c r="Q5" s="15">
        <v>2</v>
      </c>
      <c r="R5" s="13">
        <v>12</v>
      </c>
    </row>
    <row r="6" spans="1:18">
      <c r="A6" s="12" t="s">
        <v>39</v>
      </c>
      <c r="B6" s="12" t="s">
        <v>40</v>
      </c>
      <c r="C6" s="12" t="s">
        <v>20</v>
      </c>
      <c r="D6" s="12" t="s">
        <v>21</v>
      </c>
      <c r="E6" s="12" t="s">
        <v>29</v>
      </c>
      <c r="F6" s="12" t="s">
        <v>23</v>
      </c>
      <c r="G6" s="12" t="s">
        <v>24</v>
      </c>
      <c r="H6" s="12" t="s">
        <v>37</v>
      </c>
      <c r="I6" s="12" t="s">
        <v>37</v>
      </c>
      <c r="J6" s="12" t="s">
        <v>41</v>
      </c>
      <c r="K6" s="14">
        <v>44734</v>
      </c>
      <c r="L6" s="12">
        <v>2022</v>
      </c>
      <c r="M6" s="15">
        <v>24</v>
      </c>
      <c r="N6" s="14">
        <v>44824</v>
      </c>
      <c r="O6" s="12">
        <v>2022</v>
      </c>
      <c r="P6" s="15">
        <v>19</v>
      </c>
      <c r="Q6" s="15">
        <v>4</v>
      </c>
      <c r="R6" s="12">
        <v>59</v>
      </c>
    </row>
    <row r="7" spans="1:18">
      <c r="A7" s="12" t="s">
        <v>42</v>
      </c>
      <c r="B7" s="12" t="s">
        <v>40</v>
      </c>
      <c r="C7" s="12" t="s">
        <v>20</v>
      </c>
      <c r="D7" s="12" t="s">
        <v>21</v>
      </c>
      <c r="E7" s="12" t="s">
        <v>29</v>
      </c>
      <c r="F7" s="12" t="s">
        <v>23</v>
      </c>
      <c r="G7" s="12" t="s">
        <v>24</v>
      </c>
      <c r="H7" s="12" t="s">
        <v>37</v>
      </c>
      <c r="I7" s="12" t="s">
        <v>37</v>
      </c>
      <c r="J7" s="12" t="s">
        <v>43</v>
      </c>
      <c r="K7" s="14">
        <v>44734</v>
      </c>
      <c r="L7" s="12">
        <v>2022</v>
      </c>
      <c r="M7" s="15">
        <v>5</v>
      </c>
      <c r="N7" s="14">
        <v>44889</v>
      </c>
      <c r="O7" s="12">
        <v>2022</v>
      </c>
      <c r="P7" s="15">
        <v>5</v>
      </c>
      <c r="Q7" s="15">
        <v>1</v>
      </c>
      <c r="R7" s="12">
        <v>103</v>
      </c>
    </row>
    <row r="8" spans="1:18">
      <c r="A8" s="12" t="s">
        <v>44</v>
      </c>
      <c r="B8" s="12" t="s">
        <v>40</v>
      </c>
      <c r="C8" s="12" t="s">
        <v>20</v>
      </c>
      <c r="D8" s="12" t="s">
        <v>21</v>
      </c>
      <c r="E8" s="12" t="s">
        <v>29</v>
      </c>
      <c r="F8" s="12" t="s">
        <v>23</v>
      </c>
      <c r="G8" s="12" t="s">
        <v>24</v>
      </c>
      <c r="H8" s="12" t="s">
        <v>37</v>
      </c>
      <c r="I8" s="12" t="s">
        <v>37</v>
      </c>
      <c r="J8" s="12" t="s">
        <v>45</v>
      </c>
      <c r="K8" s="14">
        <v>44734</v>
      </c>
      <c r="L8" s="12">
        <v>2022</v>
      </c>
      <c r="M8" s="15">
        <v>11</v>
      </c>
      <c r="N8" s="14">
        <v>44889</v>
      </c>
      <c r="O8" s="12">
        <v>2022</v>
      </c>
      <c r="P8" s="15">
        <v>11</v>
      </c>
      <c r="Q8" s="15">
        <v>2</v>
      </c>
      <c r="R8" s="12">
        <v>103</v>
      </c>
    </row>
    <row r="9" spans="1:18">
      <c r="A9" s="12" t="s">
        <v>46</v>
      </c>
      <c r="B9" s="12" t="s">
        <v>40</v>
      </c>
      <c r="C9" s="12" t="s">
        <v>20</v>
      </c>
      <c r="D9" s="12" t="s">
        <v>21</v>
      </c>
      <c r="E9" s="12" t="s">
        <v>29</v>
      </c>
      <c r="F9" s="12" t="s">
        <v>23</v>
      </c>
      <c r="G9" s="12" t="s">
        <v>24</v>
      </c>
      <c r="H9" s="12" t="s">
        <v>37</v>
      </c>
      <c r="I9" s="12" t="s">
        <v>37</v>
      </c>
      <c r="J9" s="12" t="s">
        <v>47</v>
      </c>
      <c r="K9" s="14">
        <v>44734</v>
      </c>
      <c r="L9" s="12">
        <v>2022</v>
      </c>
      <c r="M9" s="15">
        <v>10</v>
      </c>
      <c r="N9" s="14">
        <v>44840</v>
      </c>
      <c r="O9" s="12">
        <v>2022</v>
      </c>
      <c r="P9" s="15">
        <v>10</v>
      </c>
      <c r="Q9" s="15">
        <v>2</v>
      </c>
      <c r="R9" s="12">
        <v>71</v>
      </c>
    </row>
    <row r="10" spans="1:18">
      <c r="A10" s="12" t="s">
        <v>48</v>
      </c>
      <c r="B10" s="12" t="s">
        <v>49</v>
      </c>
      <c r="C10" s="12" t="s">
        <v>20</v>
      </c>
      <c r="D10" s="12" t="s">
        <v>21</v>
      </c>
      <c r="E10" s="12" t="s">
        <v>29</v>
      </c>
      <c r="F10" s="12" t="s">
        <v>23</v>
      </c>
      <c r="G10" s="12" t="s">
        <v>50</v>
      </c>
      <c r="H10" s="12" t="s">
        <v>37</v>
      </c>
      <c r="I10" s="12" t="s">
        <v>37</v>
      </c>
      <c r="J10" s="12" t="s">
        <v>51</v>
      </c>
      <c r="K10" s="14">
        <v>44734</v>
      </c>
      <c r="L10" s="12">
        <v>2022</v>
      </c>
      <c r="M10" s="15">
        <v>3</v>
      </c>
      <c r="N10" s="14">
        <v>44746</v>
      </c>
      <c r="O10" s="12">
        <v>2022</v>
      </c>
      <c r="P10" s="15">
        <v>3</v>
      </c>
      <c r="Q10" s="15">
        <v>2</v>
      </c>
      <c r="R10" s="12">
        <v>7</v>
      </c>
    </row>
    <row r="11" spans="1:18">
      <c r="A11" s="12" t="s">
        <v>52</v>
      </c>
      <c r="B11" s="12" t="s">
        <v>53</v>
      </c>
      <c r="C11" s="12" t="s">
        <v>20</v>
      </c>
      <c r="D11" s="12" t="s">
        <v>21</v>
      </c>
      <c r="E11" s="12" t="s">
        <v>29</v>
      </c>
      <c r="F11" s="12" t="s">
        <v>23</v>
      </c>
      <c r="G11" s="12" t="s">
        <v>50</v>
      </c>
      <c r="H11" s="12" t="s">
        <v>37</v>
      </c>
      <c r="I11" s="12" t="s">
        <v>37</v>
      </c>
      <c r="J11" s="12" t="s">
        <v>54</v>
      </c>
      <c r="K11" s="14">
        <v>44739</v>
      </c>
      <c r="L11" s="12">
        <v>2022</v>
      </c>
      <c r="M11" s="15">
        <v>5</v>
      </c>
      <c r="N11" s="14">
        <v>44754</v>
      </c>
      <c r="O11" s="12">
        <v>2022</v>
      </c>
      <c r="P11" s="15">
        <v>5</v>
      </c>
      <c r="Q11" s="15">
        <v>3</v>
      </c>
      <c r="R11" s="12">
        <v>11</v>
      </c>
    </row>
    <row r="12" spans="1:18">
      <c r="A12" s="12" t="s">
        <v>55</v>
      </c>
      <c r="B12" s="12" t="s">
        <v>53</v>
      </c>
      <c r="C12" s="12" t="s">
        <v>20</v>
      </c>
      <c r="D12" s="12" t="s">
        <v>21</v>
      </c>
      <c r="E12" s="12" t="s">
        <v>29</v>
      </c>
      <c r="F12" s="12" t="s">
        <v>23</v>
      </c>
      <c r="G12" s="12" t="s">
        <v>50</v>
      </c>
      <c r="H12" s="12" t="s">
        <v>37</v>
      </c>
      <c r="I12" s="12" t="s">
        <v>37</v>
      </c>
      <c r="J12" s="12" t="s">
        <v>56</v>
      </c>
      <c r="K12" s="14">
        <v>44739</v>
      </c>
      <c r="L12" s="12">
        <v>2022</v>
      </c>
      <c r="M12" s="15">
        <v>18</v>
      </c>
      <c r="N12" s="14">
        <v>44754</v>
      </c>
      <c r="O12" s="12">
        <v>2022</v>
      </c>
      <c r="P12" s="15">
        <v>18</v>
      </c>
      <c r="Q12" s="15">
        <v>1</v>
      </c>
      <c r="R12" s="12">
        <v>11</v>
      </c>
    </row>
    <row r="13" spans="1:18">
      <c r="A13" s="12" t="s">
        <v>57</v>
      </c>
      <c r="B13" s="12" t="s">
        <v>53</v>
      </c>
      <c r="C13" s="12" t="s">
        <v>20</v>
      </c>
      <c r="D13" s="12" t="s">
        <v>21</v>
      </c>
      <c r="E13" s="12" t="s">
        <v>29</v>
      </c>
      <c r="F13" s="12" t="s">
        <v>23</v>
      </c>
      <c r="G13" s="12" t="s">
        <v>50</v>
      </c>
      <c r="H13" s="12" t="s">
        <v>37</v>
      </c>
      <c r="I13" s="12" t="s">
        <v>37</v>
      </c>
      <c r="J13" s="12" t="s">
        <v>58</v>
      </c>
      <c r="K13" s="14">
        <v>44739</v>
      </c>
      <c r="L13" s="12">
        <v>2022</v>
      </c>
      <c r="M13" s="15">
        <v>1</v>
      </c>
      <c r="N13" s="14">
        <v>44754</v>
      </c>
      <c r="O13" s="12">
        <v>2022</v>
      </c>
      <c r="P13" s="15">
        <v>1</v>
      </c>
      <c r="Q13" s="15">
        <v>1</v>
      </c>
      <c r="R13" s="12">
        <v>11</v>
      </c>
    </row>
    <row r="14" spans="1:18">
      <c r="A14" s="12" t="s">
        <v>59</v>
      </c>
      <c r="B14" s="12" t="s">
        <v>53</v>
      </c>
      <c r="C14" s="12" t="s">
        <v>20</v>
      </c>
      <c r="D14" s="12" t="s">
        <v>21</v>
      </c>
      <c r="E14" s="12" t="s">
        <v>29</v>
      </c>
      <c r="F14" s="12" t="s">
        <v>23</v>
      </c>
      <c r="G14" s="12" t="s">
        <v>50</v>
      </c>
      <c r="H14" s="12" t="s">
        <v>37</v>
      </c>
      <c r="I14" s="12" t="s">
        <v>37</v>
      </c>
      <c r="J14" s="12" t="s">
        <v>60</v>
      </c>
      <c r="K14" s="14">
        <v>44739</v>
      </c>
      <c r="L14" s="12">
        <v>2022</v>
      </c>
      <c r="M14" s="15">
        <v>2</v>
      </c>
      <c r="N14" s="14">
        <v>44754</v>
      </c>
      <c r="O14" s="12">
        <v>2022</v>
      </c>
      <c r="P14" s="15">
        <v>2</v>
      </c>
      <c r="Q14" s="15">
        <v>1</v>
      </c>
      <c r="R14" s="12">
        <v>11</v>
      </c>
    </row>
    <row r="15" spans="1:18">
      <c r="A15" s="12" t="s">
        <v>61</v>
      </c>
      <c r="B15" s="12" t="s">
        <v>53</v>
      </c>
      <c r="C15" s="12" t="s">
        <v>20</v>
      </c>
      <c r="D15" s="12" t="s">
        <v>21</v>
      </c>
      <c r="E15" s="12" t="s">
        <v>29</v>
      </c>
      <c r="F15" s="12" t="s">
        <v>23</v>
      </c>
      <c r="G15" s="12" t="s">
        <v>50</v>
      </c>
      <c r="H15" s="12" t="s">
        <v>37</v>
      </c>
      <c r="I15" s="12" t="s">
        <v>37</v>
      </c>
      <c r="J15" s="12" t="s">
        <v>62</v>
      </c>
      <c r="K15" s="14">
        <v>44739</v>
      </c>
      <c r="L15" s="12">
        <v>2022</v>
      </c>
      <c r="M15" s="15">
        <v>7</v>
      </c>
      <c r="N15" s="14">
        <v>44754</v>
      </c>
      <c r="O15" s="12">
        <v>2022</v>
      </c>
      <c r="P15" s="15">
        <v>7</v>
      </c>
      <c r="Q15" s="15">
        <v>2</v>
      </c>
      <c r="R15" s="12">
        <v>11</v>
      </c>
    </row>
    <row r="16" spans="1:18">
      <c r="A16" s="12" t="s">
        <v>63</v>
      </c>
      <c r="B16" s="12" t="s">
        <v>64</v>
      </c>
      <c r="C16" s="12" t="s">
        <v>20</v>
      </c>
      <c r="D16" s="12" t="s">
        <v>21</v>
      </c>
      <c r="E16" s="12" t="s">
        <v>29</v>
      </c>
      <c r="F16" s="12" t="s">
        <v>23</v>
      </c>
      <c r="G16" s="12" t="s">
        <v>50</v>
      </c>
      <c r="H16" s="12" t="s">
        <v>65</v>
      </c>
      <c r="I16" s="12" t="s">
        <v>65</v>
      </c>
      <c r="J16" s="12" t="s">
        <v>66</v>
      </c>
      <c r="K16" s="14">
        <v>44746</v>
      </c>
      <c r="L16" s="12">
        <v>2022</v>
      </c>
      <c r="M16" s="15">
        <v>35</v>
      </c>
      <c r="N16" s="14">
        <v>44762</v>
      </c>
      <c r="O16" s="12">
        <v>2022</v>
      </c>
      <c r="P16" s="15">
        <v>33</v>
      </c>
      <c r="Q16" s="15">
        <v>7</v>
      </c>
      <c r="R16" s="12">
        <v>13</v>
      </c>
    </row>
    <row r="17" spans="1:18">
      <c r="A17" s="12" t="s">
        <v>67</v>
      </c>
      <c r="B17" s="12" t="s">
        <v>68</v>
      </c>
      <c r="C17" s="12" t="s">
        <v>20</v>
      </c>
      <c r="D17" s="12" t="s">
        <v>21</v>
      </c>
      <c r="E17" s="12" t="s">
        <v>29</v>
      </c>
      <c r="F17" s="12" t="s">
        <v>23</v>
      </c>
      <c r="G17" s="12" t="s">
        <v>50</v>
      </c>
      <c r="H17" s="12" t="s">
        <v>69</v>
      </c>
      <c r="I17" s="12" t="s">
        <v>69</v>
      </c>
      <c r="J17" s="12" t="s">
        <v>70</v>
      </c>
      <c r="K17" s="14">
        <v>44750</v>
      </c>
      <c r="L17" s="12">
        <v>2022</v>
      </c>
      <c r="M17" s="15">
        <v>4</v>
      </c>
      <c r="N17" s="14">
        <v>44764</v>
      </c>
      <c r="O17" s="12">
        <v>2022</v>
      </c>
      <c r="P17" s="15">
        <v>4</v>
      </c>
      <c r="Q17" s="15">
        <v>1</v>
      </c>
      <c r="R17" s="12">
        <v>11</v>
      </c>
    </row>
    <row r="18" spans="1:18">
      <c r="A18" s="12" t="s">
        <v>71</v>
      </c>
      <c r="B18" s="12" t="s">
        <v>72</v>
      </c>
      <c r="C18" s="12" t="s">
        <v>20</v>
      </c>
      <c r="D18" s="12" t="s">
        <v>21</v>
      </c>
      <c r="E18" s="12" t="s">
        <v>29</v>
      </c>
      <c r="F18" s="12" t="s">
        <v>23</v>
      </c>
      <c r="G18" s="12" t="s">
        <v>24</v>
      </c>
      <c r="H18" s="12" t="s">
        <v>69</v>
      </c>
      <c r="I18" s="12" t="s">
        <v>69</v>
      </c>
      <c r="J18" s="12" t="s">
        <v>73</v>
      </c>
      <c r="K18" s="14">
        <v>44757</v>
      </c>
      <c r="L18" s="12">
        <v>2022</v>
      </c>
      <c r="M18" s="15">
        <v>16</v>
      </c>
      <c r="N18" s="14">
        <v>44775</v>
      </c>
      <c r="O18" s="12">
        <v>2022</v>
      </c>
      <c r="P18" s="15">
        <v>13</v>
      </c>
      <c r="Q18" s="15">
        <v>4</v>
      </c>
      <c r="R18" s="12">
        <v>11</v>
      </c>
    </row>
    <row r="19" spans="1:18">
      <c r="A19" s="12" t="s">
        <v>74</v>
      </c>
      <c r="B19" s="12" t="s">
        <v>68</v>
      </c>
      <c r="C19" s="12" t="s">
        <v>20</v>
      </c>
      <c r="D19" s="12" t="s">
        <v>21</v>
      </c>
      <c r="E19" s="12" t="s">
        <v>29</v>
      </c>
      <c r="F19" s="12" t="s">
        <v>23</v>
      </c>
      <c r="G19" s="12" t="s">
        <v>50</v>
      </c>
      <c r="H19" s="12" t="s">
        <v>69</v>
      </c>
      <c r="I19" s="12" t="s">
        <v>69</v>
      </c>
      <c r="J19" s="12" t="s">
        <v>75</v>
      </c>
      <c r="K19" s="14">
        <v>44750</v>
      </c>
      <c r="L19" s="12">
        <v>2022</v>
      </c>
      <c r="M19" s="15">
        <v>1</v>
      </c>
      <c r="N19" s="14">
        <v>44764</v>
      </c>
      <c r="O19" s="12">
        <v>2022</v>
      </c>
      <c r="P19" s="15">
        <v>1</v>
      </c>
      <c r="Q19" s="15">
        <v>1</v>
      </c>
      <c r="R19" s="12">
        <v>11</v>
      </c>
    </row>
    <row r="20" spans="1:18">
      <c r="A20" s="12" t="s">
        <v>76</v>
      </c>
      <c r="B20" s="12" t="s">
        <v>77</v>
      </c>
      <c r="C20" s="12" t="s">
        <v>20</v>
      </c>
      <c r="D20" s="12" t="s">
        <v>21</v>
      </c>
      <c r="E20" s="12" t="s">
        <v>29</v>
      </c>
      <c r="F20" s="12" t="s">
        <v>23</v>
      </c>
      <c r="G20" s="12" t="s">
        <v>24</v>
      </c>
      <c r="H20" s="12" t="s">
        <v>30</v>
      </c>
      <c r="I20" s="12" t="s">
        <v>30</v>
      </c>
      <c r="J20" s="12" t="s">
        <v>78</v>
      </c>
      <c r="K20" s="14">
        <v>44760</v>
      </c>
      <c r="L20" s="12">
        <v>2022</v>
      </c>
      <c r="M20" s="15">
        <v>2</v>
      </c>
      <c r="N20" s="14">
        <v>44781</v>
      </c>
      <c r="O20" s="12">
        <v>2022</v>
      </c>
      <c r="P20" s="15">
        <v>2</v>
      </c>
      <c r="Q20" s="15">
        <v>1</v>
      </c>
      <c r="R20" s="12">
        <v>14</v>
      </c>
    </row>
    <row r="21" spans="1:18">
      <c r="A21" s="12" t="s">
        <v>79</v>
      </c>
      <c r="B21" s="12" t="s">
        <v>80</v>
      </c>
      <c r="C21" s="12" t="s">
        <v>20</v>
      </c>
      <c r="D21" s="12" t="s">
        <v>21</v>
      </c>
      <c r="E21" s="12" t="s">
        <v>29</v>
      </c>
      <c r="F21" s="12" t="s">
        <v>23</v>
      </c>
      <c r="G21" s="12" t="s">
        <v>81</v>
      </c>
      <c r="H21" s="12" t="s">
        <v>30</v>
      </c>
      <c r="I21" s="12" t="s">
        <v>30</v>
      </c>
      <c r="J21" s="12" t="s">
        <v>82</v>
      </c>
      <c r="K21" s="14">
        <v>44783</v>
      </c>
      <c r="L21" s="12">
        <v>2022</v>
      </c>
      <c r="M21" s="15">
        <v>7</v>
      </c>
      <c r="N21" s="14">
        <v>44790</v>
      </c>
      <c r="O21" s="12">
        <v>2022</v>
      </c>
      <c r="P21" s="15">
        <v>5</v>
      </c>
      <c r="Q21" s="15">
        <v>1</v>
      </c>
      <c r="R21" s="12">
        <v>6</v>
      </c>
    </row>
    <row r="22" spans="1:18">
      <c r="A22" s="12" t="s">
        <v>83</v>
      </c>
      <c r="B22" s="12" t="s">
        <v>68</v>
      </c>
      <c r="C22" s="12" t="s">
        <v>20</v>
      </c>
      <c r="D22" s="12" t="s">
        <v>21</v>
      </c>
      <c r="E22" s="12" t="s">
        <v>29</v>
      </c>
      <c r="F22" s="12" t="s">
        <v>23</v>
      </c>
      <c r="G22" s="12" t="s">
        <v>50</v>
      </c>
      <c r="H22" s="12" t="s">
        <v>69</v>
      </c>
      <c r="I22" s="12" t="s">
        <v>69</v>
      </c>
      <c r="J22" s="12" t="s">
        <v>84</v>
      </c>
      <c r="K22" s="14">
        <v>44750</v>
      </c>
      <c r="L22" s="12">
        <v>2022</v>
      </c>
      <c r="M22" s="15">
        <v>1</v>
      </c>
      <c r="N22" s="14">
        <v>44764</v>
      </c>
      <c r="O22" s="12">
        <v>2022</v>
      </c>
      <c r="P22" s="15">
        <v>1</v>
      </c>
      <c r="Q22" s="15">
        <v>1</v>
      </c>
      <c r="R22" s="12">
        <v>11</v>
      </c>
    </row>
    <row r="23" spans="1:18">
      <c r="A23" s="12" t="s">
        <v>85</v>
      </c>
      <c r="B23" s="12" t="s">
        <v>68</v>
      </c>
      <c r="C23" s="12" t="s">
        <v>20</v>
      </c>
      <c r="D23" s="12" t="s">
        <v>21</v>
      </c>
      <c r="E23" s="12" t="s">
        <v>29</v>
      </c>
      <c r="F23" s="12" t="s">
        <v>23</v>
      </c>
      <c r="G23" s="12" t="s">
        <v>50</v>
      </c>
      <c r="H23" s="12" t="s">
        <v>69</v>
      </c>
      <c r="I23" s="12" t="s">
        <v>69</v>
      </c>
      <c r="J23" s="12" t="s">
        <v>86</v>
      </c>
      <c r="K23" s="14">
        <v>44750</v>
      </c>
      <c r="L23" s="12">
        <v>2022</v>
      </c>
      <c r="M23" s="15">
        <v>2</v>
      </c>
      <c r="N23" s="14">
        <v>44764</v>
      </c>
      <c r="O23" s="12">
        <v>2022</v>
      </c>
      <c r="P23" s="15">
        <v>2</v>
      </c>
      <c r="Q23" s="15">
        <v>1</v>
      </c>
      <c r="R23" s="12">
        <v>11</v>
      </c>
    </row>
    <row r="24" spans="1:18">
      <c r="A24" s="12" t="s">
        <v>87</v>
      </c>
      <c r="B24" s="12" t="s">
        <v>68</v>
      </c>
      <c r="C24" s="12" t="s">
        <v>20</v>
      </c>
      <c r="D24" s="12" t="s">
        <v>21</v>
      </c>
      <c r="E24" s="12" t="s">
        <v>29</v>
      </c>
      <c r="F24" s="12" t="s">
        <v>23</v>
      </c>
      <c r="G24" s="12" t="s">
        <v>50</v>
      </c>
      <c r="H24" s="12" t="s">
        <v>69</v>
      </c>
      <c r="I24" s="12" t="s">
        <v>69</v>
      </c>
      <c r="J24" s="12" t="s">
        <v>88</v>
      </c>
      <c r="K24" s="14">
        <v>44750</v>
      </c>
      <c r="L24" s="12">
        <v>2022</v>
      </c>
      <c r="M24" s="15">
        <v>5</v>
      </c>
      <c r="N24" s="14">
        <v>44764</v>
      </c>
      <c r="O24" s="12">
        <v>2022</v>
      </c>
      <c r="P24" s="15">
        <v>3</v>
      </c>
      <c r="Q24" s="15">
        <v>1</v>
      </c>
      <c r="R24" s="12">
        <v>11</v>
      </c>
    </row>
    <row r="25" spans="1:18">
      <c r="A25" s="12" t="s">
        <v>89</v>
      </c>
      <c r="B25" s="12" t="s">
        <v>68</v>
      </c>
      <c r="C25" s="12" t="s">
        <v>20</v>
      </c>
      <c r="D25" s="12" t="s">
        <v>21</v>
      </c>
      <c r="E25" s="12" t="s">
        <v>29</v>
      </c>
      <c r="F25" s="12" t="s">
        <v>23</v>
      </c>
      <c r="G25" s="12" t="s">
        <v>50</v>
      </c>
      <c r="H25" s="12" t="s">
        <v>69</v>
      </c>
      <c r="I25" s="12" t="s">
        <v>69</v>
      </c>
      <c r="J25" s="12" t="s">
        <v>90</v>
      </c>
      <c r="K25" s="14">
        <v>44750</v>
      </c>
      <c r="L25" s="12">
        <v>2022</v>
      </c>
      <c r="M25" s="15">
        <v>3</v>
      </c>
      <c r="N25" s="14">
        <v>44764</v>
      </c>
      <c r="O25" s="12">
        <v>2022</v>
      </c>
      <c r="P25" s="15">
        <v>1</v>
      </c>
      <c r="Q25" s="15">
        <v>1</v>
      </c>
      <c r="R25" s="12">
        <v>11</v>
      </c>
    </row>
    <row r="26" spans="1:18">
      <c r="A26" s="12" t="s">
        <v>91</v>
      </c>
      <c r="B26" s="12" t="s">
        <v>68</v>
      </c>
      <c r="C26" s="12" t="s">
        <v>20</v>
      </c>
      <c r="D26" s="12" t="s">
        <v>21</v>
      </c>
      <c r="E26" s="12" t="s">
        <v>29</v>
      </c>
      <c r="F26" s="12" t="s">
        <v>23</v>
      </c>
      <c r="G26" s="12" t="s">
        <v>50</v>
      </c>
      <c r="H26" s="12" t="s">
        <v>69</v>
      </c>
      <c r="I26" s="12" t="s">
        <v>69</v>
      </c>
      <c r="J26" s="12" t="s">
        <v>92</v>
      </c>
      <c r="K26" s="14">
        <v>44750</v>
      </c>
      <c r="L26" s="12">
        <v>2022</v>
      </c>
      <c r="M26" s="15">
        <v>2</v>
      </c>
      <c r="N26" s="14">
        <v>44764</v>
      </c>
      <c r="O26" s="12">
        <v>2022</v>
      </c>
      <c r="P26" s="15">
        <v>2</v>
      </c>
      <c r="Q26" s="15">
        <v>1</v>
      </c>
      <c r="R26" s="12">
        <v>11</v>
      </c>
    </row>
    <row r="27" spans="1:18">
      <c r="A27" s="12" t="s">
        <v>93</v>
      </c>
      <c r="B27" s="12" t="s">
        <v>68</v>
      </c>
      <c r="C27" s="12" t="s">
        <v>20</v>
      </c>
      <c r="D27" s="12" t="s">
        <v>21</v>
      </c>
      <c r="E27" s="12" t="s">
        <v>29</v>
      </c>
      <c r="F27" s="12" t="s">
        <v>23</v>
      </c>
      <c r="G27" s="12" t="s">
        <v>50</v>
      </c>
      <c r="H27" s="12" t="s">
        <v>69</v>
      </c>
      <c r="I27" s="12" t="s">
        <v>69</v>
      </c>
      <c r="J27" s="12" t="s">
        <v>94</v>
      </c>
      <c r="K27" s="14">
        <v>44750</v>
      </c>
      <c r="L27" s="12">
        <v>2022</v>
      </c>
      <c r="M27" s="15">
        <v>1</v>
      </c>
      <c r="N27" s="14">
        <v>44764</v>
      </c>
      <c r="O27" s="12">
        <v>2022</v>
      </c>
      <c r="P27" s="15">
        <v>1</v>
      </c>
      <c r="Q27" s="15">
        <v>1</v>
      </c>
      <c r="R27" s="12">
        <v>11</v>
      </c>
    </row>
    <row r="28" spans="1:18">
      <c r="A28" s="12" t="s">
        <v>95</v>
      </c>
      <c r="B28" s="12" t="s">
        <v>68</v>
      </c>
      <c r="C28" s="12" t="s">
        <v>20</v>
      </c>
      <c r="D28" s="12" t="s">
        <v>21</v>
      </c>
      <c r="E28" s="12" t="s">
        <v>29</v>
      </c>
      <c r="F28" s="12" t="s">
        <v>23</v>
      </c>
      <c r="G28" s="12" t="s">
        <v>50</v>
      </c>
      <c r="H28" s="12" t="s">
        <v>69</v>
      </c>
      <c r="I28" s="12" t="s">
        <v>69</v>
      </c>
      <c r="J28" s="12" t="s">
        <v>96</v>
      </c>
      <c r="K28" s="14">
        <v>44750</v>
      </c>
      <c r="L28" s="12">
        <v>2022</v>
      </c>
      <c r="M28" s="15">
        <v>1</v>
      </c>
      <c r="N28" s="14">
        <v>44764</v>
      </c>
      <c r="O28" s="12">
        <v>2022</v>
      </c>
      <c r="P28" s="15">
        <v>1</v>
      </c>
      <c r="Q28" s="15">
        <v>1</v>
      </c>
      <c r="R28" s="12">
        <v>11</v>
      </c>
    </row>
    <row r="29" spans="1:18">
      <c r="A29" s="12" t="s">
        <v>97</v>
      </c>
      <c r="B29" s="12" t="s">
        <v>68</v>
      </c>
      <c r="C29" s="12" t="s">
        <v>20</v>
      </c>
      <c r="D29" s="12" t="s">
        <v>21</v>
      </c>
      <c r="E29" s="12" t="s">
        <v>29</v>
      </c>
      <c r="F29" s="12" t="s">
        <v>23</v>
      </c>
      <c r="G29" s="12" t="s">
        <v>50</v>
      </c>
      <c r="H29" s="12" t="s">
        <v>69</v>
      </c>
      <c r="I29" s="12" t="s">
        <v>69</v>
      </c>
      <c r="J29" s="12" t="s">
        <v>98</v>
      </c>
      <c r="K29" s="14">
        <v>44750</v>
      </c>
      <c r="L29" s="12">
        <v>2022</v>
      </c>
      <c r="M29" s="15">
        <v>1</v>
      </c>
      <c r="N29" s="14">
        <v>44764</v>
      </c>
      <c r="O29" s="12">
        <v>2022</v>
      </c>
      <c r="P29" s="15">
        <v>1</v>
      </c>
      <c r="Q29" s="15">
        <v>1</v>
      </c>
      <c r="R29" s="12">
        <v>11</v>
      </c>
    </row>
    <row r="30" spans="1:18">
      <c r="A30" s="12" t="s">
        <v>99</v>
      </c>
      <c r="B30" s="12" t="s">
        <v>68</v>
      </c>
      <c r="C30" s="12" t="s">
        <v>20</v>
      </c>
      <c r="D30" s="12" t="s">
        <v>21</v>
      </c>
      <c r="E30" s="12" t="s">
        <v>29</v>
      </c>
      <c r="F30" s="12" t="s">
        <v>23</v>
      </c>
      <c r="G30" s="12" t="s">
        <v>50</v>
      </c>
      <c r="H30" s="12" t="s">
        <v>69</v>
      </c>
      <c r="I30" s="12" t="s">
        <v>69</v>
      </c>
      <c r="J30" s="12" t="s">
        <v>100</v>
      </c>
      <c r="K30" s="14">
        <v>44750</v>
      </c>
      <c r="L30" s="12">
        <v>2022</v>
      </c>
      <c r="M30" s="15">
        <v>1</v>
      </c>
      <c r="N30" s="14">
        <v>44764</v>
      </c>
      <c r="O30" s="12">
        <v>2022</v>
      </c>
      <c r="P30" s="15">
        <v>1</v>
      </c>
      <c r="Q30" s="15">
        <v>1</v>
      </c>
      <c r="R30" s="12">
        <v>11</v>
      </c>
    </row>
    <row r="31" spans="1:18">
      <c r="A31" s="12" t="s">
        <v>101</v>
      </c>
      <c r="B31" s="12" t="s">
        <v>102</v>
      </c>
      <c r="C31" s="12" t="s">
        <v>20</v>
      </c>
      <c r="D31" s="12" t="s">
        <v>21</v>
      </c>
      <c r="E31" s="12" t="s">
        <v>29</v>
      </c>
      <c r="F31" s="12" t="s">
        <v>23</v>
      </c>
      <c r="G31" s="12" t="s">
        <v>24</v>
      </c>
      <c r="H31" s="12" t="s">
        <v>103</v>
      </c>
      <c r="I31" s="12" t="s">
        <v>65</v>
      </c>
      <c r="J31" s="12" t="s">
        <v>104</v>
      </c>
      <c r="K31" s="14">
        <v>44746</v>
      </c>
      <c r="L31" s="12">
        <v>2022</v>
      </c>
      <c r="M31" s="15">
        <v>16</v>
      </c>
      <c r="N31" s="14">
        <v>44845</v>
      </c>
      <c r="O31" s="12">
        <v>2022</v>
      </c>
      <c r="P31" s="15">
        <v>12</v>
      </c>
      <c r="Q31" s="15">
        <v>2</v>
      </c>
      <c r="R31" s="12">
        <v>67</v>
      </c>
    </row>
    <row r="32" spans="1:18">
      <c r="A32" s="12" t="s">
        <v>105</v>
      </c>
      <c r="B32" s="12" t="s">
        <v>106</v>
      </c>
      <c r="C32" s="12" t="s">
        <v>20</v>
      </c>
      <c r="D32" s="12" t="s">
        <v>21</v>
      </c>
      <c r="E32" s="12" t="s">
        <v>29</v>
      </c>
      <c r="F32" s="12" t="s">
        <v>23</v>
      </c>
      <c r="G32" s="12" t="s">
        <v>24</v>
      </c>
      <c r="H32" s="12" t="s">
        <v>107</v>
      </c>
      <c r="I32" s="12" t="s">
        <v>107</v>
      </c>
      <c r="J32" s="12" t="s">
        <v>108</v>
      </c>
      <c r="K32" s="14">
        <v>44764</v>
      </c>
      <c r="L32" s="12">
        <v>2022</v>
      </c>
      <c r="M32" s="15">
        <v>57</v>
      </c>
      <c r="N32" s="14">
        <v>44799</v>
      </c>
      <c r="O32" s="12">
        <v>2022</v>
      </c>
      <c r="P32" s="15">
        <v>57</v>
      </c>
      <c r="Q32" s="15">
        <v>5</v>
      </c>
      <c r="R32" s="12">
        <v>24</v>
      </c>
    </row>
    <row r="33" spans="1:18">
      <c r="A33" s="12" t="s">
        <v>109</v>
      </c>
      <c r="B33" s="12" t="s">
        <v>110</v>
      </c>
      <c r="C33" s="12" t="s">
        <v>20</v>
      </c>
      <c r="D33" s="12" t="s">
        <v>21</v>
      </c>
      <c r="E33" s="12" t="s">
        <v>29</v>
      </c>
      <c r="F33" s="12" t="s">
        <v>23</v>
      </c>
      <c r="G33" s="12" t="s">
        <v>50</v>
      </c>
      <c r="H33" s="12" t="s">
        <v>107</v>
      </c>
      <c r="I33" s="12" t="s">
        <v>107</v>
      </c>
      <c r="J33" s="12" t="s">
        <v>111</v>
      </c>
      <c r="K33" s="14">
        <v>44764</v>
      </c>
      <c r="L33" s="12">
        <v>2022</v>
      </c>
      <c r="M33" s="15">
        <v>4</v>
      </c>
      <c r="N33" s="14">
        <v>44783</v>
      </c>
      <c r="O33" s="12">
        <v>2022</v>
      </c>
      <c r="P33" s="15">
        <v>4</v>
      </c>
      <c r="Q33" s="15">
        <v>2</v>
      </c>
      <c r="R33" s="12">
        <v>12</v>
      </c>
    </row>
    <row r="34" spans="1:18">
      <c r="A34" s="12" t="s">
        <v>112</v>
      </c>
      <c r="B34" s="12" t="s">
        <v>102</v>
      </c>
      <c r="C34" s="12" t="s">
        <v>20</v>
      </c>
      <c r="D34" s="12" t="s">
        <v>21</v>
      </c>
      <c r="E34" s="12" t="s">
        <v>29</v>
      </c>
      <c r="F34" s="12" t="s">
        <v>23</v>
      </c>
      <c r="G34" s="12" t="s">
        <v>24</v>
      </c>
      <c r="H34" s="12" t="s">
        <v>103</v>
      </c>
      <c r="I34" s="12" t="s">
        <v>65</v>
      </c>
      <c r="J34" s="12" t="s">
        <v>113</v>
      </c>
      <c r="K34" s="14">
        <v>44740</v>
      </c>
      <c r="L34" s="12">
        <v>2022</v>
      </c>
      <c r="M34" s="15">
        <v>3</v>
      </c>
      <c r="N34" s="14">
        <v>44889</v>
      </c>
      <c r="O34" s="12">
        <v>2022</v>
      </c>
      <c r="P34" s="15">
        <v>3</v>
      </c>
      <c r="Q34" s="15">
        <v>1</v>
      </c>
      <c r="R34" s="12">
        <v>100</v>
      </c>
    </row>
    <row r="35" spans="1:18">
      <c r="A35" s="12" t="s">
        <v>114</v>
      </c>
      <c r="B35" s="12" t="s">
        <v>102</v>
      </c>
      <c r="C35" s="12" t="s">
        <v>20</v>
      </c>
      <c r="D35" s="12" t="s">
        <v>21</v>
      </c>
      <c r="E35" s="12" t="s">
        <v>29</v>
      </c>
      <c r="F35" s="12" t="s">
        <v>23</v>
      </c>
      <c r="G35" s="12" t="s">
        <v>24</v>
      </c>
      <c r="H35" s="12" t="s">
        <v>103</v>
      </c>
      <c r="I35" s="12" t="s">
        <v>65</v>
      </c>
      <c r="J35" s="12" t="s">
        <v>115</v>
      </c>
      <c r="K35" s="14">
        <v>44740</v>
      </c>
      <c r="L35" s="12">
        <v>2022</v>
      </c>
      <c r="M35" s="15">
        <v>17</v>
      </c>
      <c r="N35" s="14">
        <v>44889</v>
      </c>
      <c r="O35" s="12">
        <v>2022</v>
      </c>
      <c r="P35" s="15">
        <v>17</v>
      </c>
      <c r="Q35" s="15">
        <v>2</v>
      </c>
      <c r="R35" s="12">
        <v>100</v>
      </c>
    </row>
    <row r="36" spans="1:18">
      <c r="A36" s="12" t="s">
        <v>116</v>
      </c>
      <c r="B36" s="12" t="s">
        <v>102</v>
      </c>
      <c r="C36" s="12" t="s">
        <v>20</v>
      </c>
      <c r="D36" s="12" t="s">
        <v>21</v>
      </c>
      <c r="E36" s="12" t="s">
        <v>29</v>
      </c>
      <c r="F36" s="12" t="s">
        <v>23</v>
      </c>
      <c r="G36" s="12" t="s">
        <v>24</v>
      </c>
      <c r="H36" s="12" t="s">
        <v>103</v>
      </c>
      <c r="I36" s="12" t="s">
        <v>65</v>
      </c>
      <c r="J36" s="12" t="s">
        <v>117</v>
      </c>
      <c r="K36" s="14">
        <v>44740</v>
      </c>
      <c r="L36" s="12">
        <v>2022</v>
      </c>
      <c r="M36" s="15">
        <v>3</v>
      </c>
      <c r="N36" s="14">
        <v>44889</v>
      </c>
      <c r="O36" s="12">
        <v>2022</v>
      </c>
      <c r="P36" s="15">
        <v>3</v>
      </c>
      <c r="Q36" s="15">
        <v>1</v>
      </c>
      <c r="R36" s="12">
        <v>100</v>
      </c>
    </row>
    <row r="37" spans="1:18">
      <c r="A37" s="12" t="s">
        <v>118</v>
      </c>
      <c r="B37" s="12" t="s">
        <v>102</v>
      </c>
      <c r="C37" s="12" t="s">
        <v>20</v>
      </c>
      <c r="D37" s="12" t="s">
        <v>21</v>
      </c>
      <c r="E37" s="12" t="s">
        <v>29</v>
      </c>
      <c r="F37" s="12" t="s">
        <v>23</v>
      </c>
      <c r="G37" s="12" t="s">
        <v>24</v>
      </c>
      <c r="H37" s="12" t="s">
        <v>103</v>
      </c>
      <c r="I37" s="12" t="s">
        <v>65</v>
      </c>
      <c r="J37" s="12" t="s">
        <v>119</v>
      </c>
      <c r="K37" s="14">
        <v>44740</v>
      </c>
      <c r="L37" s="12">
        <v>2022</v>
      </c>
      <c r="M37" s="15">
        <v>4</v>
      </c>
      <c r="N37" s="14">
        <v>44889</v>
      </c>
      <c r="O37" s="12">
        <v>2022</v>
      </c>
      <c r="P37" s="15">
        <v>4</v>
      </c>
      <c r="Q37" s="15">
        <v>1</v>
      </c>
      <c r="R37" s="12">
        <v>100</v>
      </c>
    </row>
    <row r="38" spans="1:18">
      <c r="A38" s="12" t="s">
        <v>120</v>
      </c>
      <c r="B38" s="12" t="s">
        <v>121</v>
      </c>
      <c r="C38" s="12" t="s">
        <v>20</v>
      </c>
      <c r="D38" s="12" t="s">
        <v>21</v>
      </c>
      <c r="E38" s="12" t="s">
        <v>29</v>
      </c>
      <c r="F38" s="12" t="s">
        <v>23</v>
      </c>
      <c r="G38" s="12" t="s">
        <v>24</v>
      </c>
      <c r="H38" s="12" t="s">
        <v>103</v>
      </c>
      <c r="I38" s="12" t="s">
        <v>65</v>
      </c>
      <c r="J38" s="12" t="s">
        <v>122</v>
      </c>
      <c r="K38" s="14">
        <v>44742</v>
      </c>
      <c r="L38" s="12">
        <v>2022</v>
      </c>
      <c r="M38" s="15">
        <v>10</v>
      </c>
      <c r="N38" s="14">
        <v>44769</v>
      </c>
      <c r="O38" s="12">
        <v>2022</v>
      </c>
      <c r="P38" s="15">
        <v>10</v>
      </c>
      <c r="Q38" s="15">
        <v>2</v>
      </c>
      <c r="R38" s="12">
        <v>20</v>
      </c>
    </row>
    <row r="39" spans="1:18">
      <c r="A39" s="12" t="s">
        <v>123</v>
      </c>
      <c r="B39" s="12" t="s">
        <v>53</v>
      </c>
      <c r="C39" s="12" t="s">
        <v>20</v>
      </c>
      <c r="D39" s="12" t="s">
        <v>21</v>
      </c>
      <c r="E39" s="12" t="s">
        <v>29</v>
      </c>
      <c r="F39" s="12" t="s">
        <v>23</v>
      </c>
      <c r="G39" s="12" t="s">
        <v>50</v>
      </c>
      <c r="H39" s="12" t="s">
        <v>37</v>
      </c>
      <c r="I39" s="12" t="s">
        <v>37</v>
      </c>
      <c r="J39" s="12" t="s">
        <v>124</v>
      </c>
      <c r="K39" s="14">
        <v>44742</v>
      </c>
      <c r="L39" s="12">
        <v>2022</v>
      </c>
      <c r="M39" s="15">
        <v>6</v>
      </c>
      <c r="N39" s="14">
        <v>44754</v>
      </c>
      <c r="O39" s="12">
        <v>2022</v>
      </c>
      <c r="P39" s="15">
        <v>6</v>
      </c>
      <c r="Q39" s="15">
        <v>2</v>
      </c>
      <c r="R39" s="12">
        <v>9</v>
      </c>
    </row>
    <row r="40" spans="1:18">
      <c r="A40" s="12" t="s">
        <v>125</v>
      </c>
      <c r="B40" s="12" t="s">
        <v>126</v>
      </c>
      <c r="C40" s="12" t="s">
        <v>20</v>
      </c>
      <c r="D40" s="12" t="s">
        <v>21</v>
      </c>
      <c r="E40" s="12" t="s">
        <v>29</v>
      </c>
      <c r="F40" s="12" t="s">
        <v>23</v>
      </c>
      <c r="G40" s="12" t="s">
        <v>50</v>
      </c>
      <c r="H40" s="12" t="s">
        <v>127</v>
      </c>
      <c r="I40" s="12" t="s">
        <v>127</v>
      </c>
      <c r="J40" s="12" t="s">
        <v>128</v>
      </c>
      <c r="K40" s="14">
        <v>44762</v>
      </c>
      <c r="L40" s="12">
        <v>2022</v>
      </c>
      <c r="M40" s="15">
        <v>1</v>
      </c>
      <c r="N40" s="14">
        <v>44795</v>
      </c>
      <c r="O40" s="12">
        <v>2022</v>
      </c>
      <c r="P40" s="15">
        <v>1</v>
      </c>
      <c r="Q40" s="15">
        <v>1</v>
      </c>
      <c r="R40" s="12">
        <v>22</v>
      </c>
    </row>
    <row r="41" spans="1:18">
      <c r="A41" s="12" t="s">
        <v>129</v>
      </c>
      <c r="B41" s="12" t="s">
        <v>126</v>
      </c>
      <c r="C41" s="12" t="s">
        <v>20</v>
      </c>
      <c r="D41" s="12" t="s">
        <v>21</v>
      </c>
      <c r="E41" s="12" t="s">
        <v>29</v>
      </c>
      <c r="F41" s="12" t="s">
        <v>23</v>
      </c>
      <c r="G41" s="12" t="s">
        <v>50</v>
      </c>
      <c r="H41" s="12" t="s">
        <v>127</v>
      </c>
      <c r="I41" s="12" t="s">
        <v>127</v>
      </c>
      <c r="J41" s="12" t="s">
        <v>130</v>
      </c>
      <c r="K41" s="14">
        <v>44762</v>
      </c>
      <c r="L41" s="12">
        <v>2022</v>
      </c>
      <c r="M41" s="15">
        <v>1</v>
      </c>
      <c r="N41" s="14">
        <v>44795</v>
      </c>
      <c r="O41" s="12">
        <v>2022</v>
      </c>
      <c r="P41" s="15">
        <v>1</v>
      </c>
      <c r="Q41" s="15">
        <v>1</v>
      </c>
      <c r="R41" s="12">
        <v>22</v>
      </c>
    </row>
    <row r="42" spans="1:18">
      <c r="A42" s="12" t="s">
        <v>131</v>
      </c>
      <c r="B42" s="12" t="s">
        <v>126</v>
      </c>
      <c r="C42" s="12" t="s">
        <v>20</v>
      </c>
      <c r="D42" s="12" t="s">
        <v>21</v>
      </c>
      <c r="E42" s="12" t="s">
        <v>29</v>
      </c>
      <c r="F42" s="12" t="s">
        <v>23</v>
      </c>
      <c r="G42" s="12" t="s">
        <v>50</v>
      </c>
      <c r="H42" s="12" t="s">
        <v>127</v>
      </c>
      <c r="I42" s="12" t="s">
        <v>127</v>
      </c>
      <c r="J42" s="12" t="s">
        <v>132</v>
      </c>
      <c r="K42" s="14">
        <v>44762</v>
      </c>
      <c r="L42" s="12">
        <v>2022</v>
      </c>
      <c r="M42" s="15">
        <v>1</v>
      </c>
      <c r="N42" s="14">
        <v>44795</v>
      </c>
      <c r="O42" s="12">
        <v>2022</v>
      </c>
      <c r="P42" s="15">
        <v>1</v>
      </c>
      <c r="Q42" s="15">
        <v>1</v>
      </c>
      <c r="R42" s="12">
        <v>22</v>
      </c>
    </row>
    <row r="43" spans="1:18">
      <c r="A43" s="12" t="s">
        <v>133</v>
      </c>
      <c r="B43" s="12" t="s">
        <v>126</v>
      </c>
      <c r="C43" s="12" t="s">
        <v>20</v>
      </c>
      <c r="D43" s="12" t="s">
        <v>21</v>
      </c>
      <c r="E43" s="12" t="s">
        <v>29</v>
      </c>
      <c r="F43" s="12" t="s">
        <v>23</v>
      </c>
      <c r="G43" s="12" t="s">
        <v>50</v>
      </c>
      <c r="H43" s="12" t="s">
        <v>127</v>
      </c>
      <c r="I43" s="12" t="s">
        <v>127</v>
      </c>
      <c r="J43" s="12" t="s">
        <v>134</v>
      </c>
      <c r="K43" s="14">
        <v>44762</v>
      </c>
      <c r="L43" s="12">
        <v>2022</v>
      </c>
      <c r="M43" s="15">
        <v>20</v>
      </c>
      <c r="N43" s="14">
        <v>44795</v>
      </c>
      <c r="O43" s="12">
        <v>2022</v>
      </c>
      <c r="P43" s="15">
        <v>20</v>
      </c>
      <c r="Q43" s="15">
        <v>2</v>
      </c>
      <c r="R43" s="12">
        <v>22</v>
      </c>
    </row>
    <row r="44" spans="1:18">
      <c r="A44" s="12" t="s">
        <v>135</v>
      </c>
      <c r="B44" s="12" t="s">
        <v>126</v>
      </c>
      <c r="C44" s="12" t="s">
        <v>20</v>
      </c>
      <c r="D44" s="12" t="s">
        <v>21</v>
      </c>
      <c r="E44" s="12" t="s">
        <v>29</v>
      </c>
      <c r="F44" s="12" t="s">
        <v>23</v>
      </c>
      <c r="G44" s="12" t="s">
        <v>50</v>
      </c>
      <c r="H44" s="12" t="s">
        <v>127</v>
      </c>
      <c r="I44" s="12" t="s">
        <v>127</v>
      </c>
      <c r="J44" s="12" t="s">
        <v>136</v>
      </c>
      <c r="K44" s="14">
        <v>44762</v>
      </c>
      <c r="L44" s="12">
        <v>2022</v>
      </c>
      <c r="M44" s="15">
        <v>3</v>
      </c>
      <c r="N44" s="14">
        <v>44795</v>
      </c>
      <c r="O44" s="12">
        <v>2022</v>
      </c>
      <c r="P44" s="15">
        <v>3</v>
      </c>
      <c r="Q44" s="15">
        <v>1</v>
      </c>
      <c r="R44" s="12">
        <v>22</v>
      </c>
    </row>
    <row r="45" spans="1:18">
      <c r="A45" s="12" t="s">
        <v>137</v>
      </c>
      <c r="B45" s="12" t="s">
        <v>126</v>
      </c>
      <c r="C45" s="12" t="s">
        <v>20</v>
      </c>
      <c r="D45" s="12" t="s">
        <v>21</v>
      </c>
      <c r="E45" s="12" t="s">
        <v>29</v>
      </c>
      <c r="F45" s="12" t="s">
        <v>23</v>
      </c>
      <c r="G45" s="12" t="s">
        <v>50</v>
      </c>
      <c r="H45" s="12" t="s">
        <v>127</v>
      </c>
      <c r="I45" s="12" t="s">
        <v>127</v>
      </c>
      <c r="J45" s="12" t="s">
        <v>138</v>
      </c>
      <c r="K45" s="14">
        <v>44762</v>
      </c>
      <c r="L45" s="12">
        <v>2022</v>
      </c>
      <c r="M45" s="15">
        <v>1</v>
      </c>
      <c r="N45" s="14">
        <v>44795</v>
      </c>
      <c r="O45" s="12">
        <v>2022</v>
      </c>
      <c r="P45" s="15">
        <v>1</v>
      </c>
      <c r="Q45" s="15">
        <v>1</v>
      </c>
      <c r="R45" s="12">
        <v>22</v>
      </c>
    </row>
    <row r="46" spans="1:18">
      <c r="A46" s="12" t="s">
        <v>139</v>
      </c>
      <c r="B46" s="12" t="s">
        <v>126</v>
      </c>
      <c r="C46" s="12" t="s">
        <v>20</v>
      </c>
      <c r="D46" s="12" t="s">
        <v>21</v>
      </c>
      <c r="E46" s="12" t="s">
        <v>29</v>
      </c>
      <c r="F46" s="12" t="s">
        <v>23</v>
      </c>
      <c r="G46" s="12" t="s">
        <v>50</v>
      </c>
      <c r="H46" s="12" t="s">
        <v>127</v>
      </c>
      <c r="I46" s="12" t="s">
        <v>127</v>
      </c>
      <c r="J46" s="12" t="s">
        <v>140</v>
      </c>
      <c r="K46" s="14">
        <v>44762</v>
      </c>
      <c r="L46" s="12">
        <v>2022</v>
      </c>
      <c r="M46" s="15">
        <v>30</v>
      </c>
      <c r="N46" s="14">
        <v>44795</v>
      </c>
      <c r="O46" s="12">
        <v>2022</v>
      </c>
      <c r="P46" s="15">
        <v>30</v>
      </c>
      <c r="Q46" s="15">
        <v>4</v>
      </c>
      <c r="R46" s="12">
        <v>22</v>
      </c>
    </row>
    <row r="47" spans="1:18">
      <c r="A47" s="12" t="s">
        <v>141</v>
      </c>
      <c r="B47" s="12" t="s">
        <v>142</v>
      </c>
      <c r="C47" s="12" t="s">
        <v>20</v>
      </c>
      <c r="D47" s="12" t="s">
        <v>21</v>
      </c>
      <c r="E47" s="12" t="s">
        <v>29</v>
      </c>
      <c r="F47" s="12" t="s">
        <v>23</v>
      </c>
      <c r="G47" s="12" t="s">
        <v>24</v>
      </c>
      <c r="H47" s="12" t="s">
        <v>143</v>
      </c>
      <c r="I47" s="12" t="s">
        <v>107</v>
      </c>
      <c r="J47" s="12" t="s">
        <v>144</v>
      </c>
      <c r="K47" s="14">
        <v>44764</v>
      </c>
      <c r="L47" s="12">
        <v>2022</v>
      </c>
      <c r="M47" s="15">
        <v>33</v>
      </c>
      <c r="N47" s="14">
        <v>44796</v>
      </c>
      <c r="O47" s="12">
        <v>2022</v>
      </c>
      <c r="P47" s="15">
        <v>33</v>
      </c>
      <c r="Q47" s="15">
        <v>6</v>
      </c>
      <c r="R47" s="12">
        <v>21</v>
      </c>
    </row>
    <row r="48" spans="1:18">
      <c r="A48" s="12" t="s">
        <v>145</v>
      </c>
      <c r="B48" s="12" t="s">
        <v>146</v>
      </c>
      <c r="C48" s="12" t="s">
        <v>20</v>
      </c>
      <c r="D48" s="12" t="s">
        <v>21</v>
      </c>
      <c r="E48" s="12" t="s">
        <v>29</v>
      </c>
      <c r="F48" s="12" t="s">
        <v>23</v>
      </c>
      <c r="G48" s="12" t="s">
        <v>24</v>
      </c>
      <c r="H48" s="12" t="s">
        <v>147</v>
      </c>
      <c r="I48" s="12" t="s">
        <v>148</v>
      </c>
      <c r="J48" s="12" t="s">
        <v>149</v>
      </c>
      <c r="K48" s="14">
        <v>44777</v>
      </c>
      <c r="L48" s="12">
        <v>2022</v>
      </c>
      <c r="M48" s="15">
        <v>105</v>
      </c>
      <c r="N48" s="14">
        <v>44830</v>
      </c>
      <c r="O48" s="12">
        <v>2022</v>
      </c>
      <c r="P48" s="15">
        <v>105</v>
      </c>
      <c r="Q48" s="15">
        <v>10</v>
      </c>
      <c r="R48" s="12">
        <v>36</v>
      </c>
    </row>
    <row r="49" spans="1:18">
      <c r="A49" s="12" t="s">
        <v>150</v>
      </c>
      <c r="B49" s="12" t="s">
        <v>151</v>
      </c>
      <c r="C49" s="12" t="s">
        <v>20</v>
      </c>
      <c r="D49" s="12" t="s">
        <v>21</v>
      </c>
      <c r="E49" s="12" t="s">
        <v>29</v>
      </c>
      <c r="F49" s="12" t="s">
        <v>23</v>
      </c>
      <c r="G49" s="12" t="s">
        <v>81</v>
      </c>
      <c r="H49" s="12" t="s">
        <v>152</v>
      </c>
      <c r="I49" s="12" t="s">
        <v>152</v>
      </c>
      <c r="J49" s="12" t="s">
        <v>153</v>
      </c>
      <c r="K49" s="14">
        <v>44776</v>
      </c>
      <c r="L49" s="12">
        <v>2022</v>
      </c>
      <c r="M49" s="15">
        <v>4</v>
      </c>
      <c r="N49" s="14">
        <v>44783</v>
      </c>
      <c r="O49" s="12">
        <v>2022</v>
      </c>
      <c r="P49" s="15">
        <v>2</v>
      </c>
      <c r="Q49" s="15">
        <v>1</v>
      </c>
      <c r="R49" s="12">
        <v>6</v>
      </c>
    </row>
    <row r="50" spans="1:18">
      <c r="A50" s="12" t="s">
        <v>154</v>
      </c>
      <c r="B50" s="12" t="s">
        <v>155</v>
      </c>
      <c r="C50" s="12" t="s">
        <v>20</v>
      </c>
      <c r="D50" s="12" t="s">
        <v>21</v>
      </c>
      <c r="E50" s="12" t="s">
        <v>29</v>
      </c>
      <c r="F50" s="12" t="s">
        <v>23</v>
      </c>
      <c r="G50" s="12" t="s">
        <v>81</v>
      </c>
      <c r="H50" s="12" t="s">
        <v>152</v>
      </c>
      <c r="I50" s="12" t="s">
        <v>152</v>
      </c>
      <c r="J50" s="12" t="s">
        <v>156</v>
      </c>
      <c r="K50" s="14">
        <v>44775</v>
      </c>
      <c r="L50" s="12">
        <v>2022</v>
      </c>
      <c r="M50" s="15">
        <v>8</v>
      </c>
      <c r="N50" s="14">
        <v>44868</v>
      </c>
      <c r="O50" s="12">
        <v>2022</v>
      </c>
      <c r="P50" s="15">
        <v>8</v>
      </c>
      <c r="Q50" s="15">
        <v>1</v>
      </c>
      <c r="R50" s="12">
        <v>63</v>
      </c>
    </row>
    <row r="51" spans="1:18">
      <c r="A51" s="12" t="s">
        <v>157</v>
      </c>
      <c r="B51" s="12" t="s">
        <v>158</v>
      </c>
      <c r="C51" s="12" t="s">
        <v>20</v>
      </c>
      <c r="D51" s="12" t="s">
        <v>21</v>
      </c>
      <c r="E51" s="12" t="s">
        <v>29</v>
      </c>
      <c r="F51" s="12" t="s">
        <v>23</v>
      </c>
      <c r="G51" s="12" t="s">
        <v>50</v>
      </c>
      <c r="H51" s="12" t="s">
        <v>159</v>
      </c>
      <c r="I51" s="12" t="s">
        <v>159</v>
      </c>
      <c r="J51" s="12" t="s">
        <v>160</v>
      </c>
      <c r="K51" s="14">
        <v>44764</v>
      </c>
      <c r="L51" s="12">
        <v>2022</v>
      </c>
      <c r="M51" s="15">
        <v>20</v>
      </c>
      <c r="N51" s="14">
        <v>44804</v>
      </c>
      <c r="O51" s="12">
        <v>2022</v>
      </c>
      <c r="P51" s="15">
        <v>20</v>
      </c>
      <c r="Q51" s="15">
        <v>5</v>
      </c>
      <c r="R51" s="12">
        <v>25</v>
      </c>
    </row>
    <row r="52" spans="1:18">
      <c r="A52" s="12" t="s">
        <v>161</v>
      </c>
      <c r="B52" s="12" t="s">
        <v>162</v>
      </c>
      <c r="C52" s="12" t="s">
        <v>20</v>
      </c>
      <c r="D52" s="12" t="s">
        <v>21</v>
      </c>
      <c r="E52" s="12" t="s">
        <v>29</v>
      </c>
      <c r="F52" s="12" t="s">
        <v>23</v>
      </c>
      <c r="G52" s="12" t="s">
        <v>24</v>
      </c>
      <c r="H52" s="12" t="s">
        <v>163</v>
      </c>
      <c r="I52" s="12" t="s">
        <v>159</v>
      </c>
      <c r="J52" s="12" t="s">
        <v>164</v>
      </c>
      <c r="K52" s="14">
        <v>44769</v>
      </c>
      <c r="L52" s="12">
        <v>2022</v>
      </c>
      <c r="M52" s="15">
        <v>35</v>
      </c>
      <c r="N52" s="14">
        <v>44791</v>
      </c>
      <c r="O52" s="12">
        <v>2022</v>
      </c>
      <c r="P52" s="15">
        <v>35</v>
      </c>
      <c r="Q52" s="15">
        <v>4</v>
      </c>
      <c r="R52" s="12">
        <v>15</v>
      </c>
    </row>
    <row r="53" spans="1:18">
      <c r="A53" s="12" t="s">
        <v>165</v>
      </c>
      <c r="B53" s="12" t="s">
        <v>166</v>
      </c>
      <c r="C53" s="12" t="s">
        <v>20</v>
      </c>
      <c r="D53" s="12" t="s">
        <v>21</v>
      </c>
      <c r="E53" s="12" t="s">
        <v>29</v>
      </c>
      <c r="F53" s="12" t="s">
        <v>23</v>
      </c>
      <c r="G53" s="12" t="s">
        <v>81</v>
      </c>
      <c r="H53" s="12" t="s">
        <v>163</v>
      </c>
      <c r="I53" s="12" t="s">
        <v>159</v>
      </c>
      <c r="J53" s="12" t="s">
        <v>167</v>
      </c>
      <c r="K53" s="14">
        <v>44777</v>
      </c>
      <c r="L53" s="12">
        <v>2022</v>
      </c>
      <c r="M53" s="15">
        <v>3</v>
      </c>
      <c r="N53" s="14">
        <v>44789</v>
      </c>
      <c r="O53" s="12">
        <v>2022</v>
      </c>
      <c r="P53" s="15">
        <v>2</v>
      </c>
      <c r="Q53" s="15">
        <v>1</v>
      </c>
      <c r="R53" s="12">
        <v>9</v>
      </c>
    </row>
    <row r="54" spans="1:18">
      <c r="A54" s="12" t="s">
        <v>168</v>
      </c>
      <c r="B54" s="12" t="s">
        <v>169</v>
      </c>
      <c r="C54" s="12" t="s">
        <v>20</v>
      </c>
      <c r="D54" s="12" t="s">
        <v>21</v>
      </c>
      <c r="E54" s="12" t="s">
        <v>29</v>
      </c>
      <c r="F54" s="12" t="s">
        <v>23</v>
      </c>
      <c r="G54" s="12" t="s">
        <v>24</v>
      </c>
      <c r="H54" s="12" t="s">
        <v>25</v>
      </c>
      <c r="I54" s="12" t="s">
        <v>159</v>
      </c>
      <c r="J54" s="12" t="s">
        <v>170</v>
      </c>
      <c r="K54" s="14">
        <v>44791</v>
      </c>
      <c r="L54" s="12">
        <v>2022</v>
      </c>
      <c r="M54" s="15">
        <v>36</v>
      </c>
      <c r="N54" s="14">
        <v>44809</v>
      </c>
      <c r="O54" s="12">
        <v>2022</v>
      </c>
      <c r="P54" s="15">
        <v>27</v>
      </c>
      <c r="Q54" s="15">
        <v>6</v>
      </c>
      <c r="R54" s="12">
        <v>11</v>
      </c>
    </row>
    <row r="55" spans="1:18">
      <c r="A55" s="12" t="s">
        <v>171</v>
      </c>
      <c r="B55" s="12" t="s">
        <v>172</v>
      </c>
      <c r="C55" s="12" t="s">
        <v>20</v>
      </c>
      <c r="D55" s="12" t="s">
        <v>21</v>
      </c>
      <c r="E55" s="12" t="s">
        <v>29</v>
      </c>
      <c r="F55" s="12" t="s">
        <v>23</v>
      </c>
      <c r="G55" s="12" t="s">
        <v>50</v>
      </c>
      <c r="H55" s="12" t="s">
        <v>173</v>
      </c>
      <c r="I55" s="12" t="s">
        <v>173</v>
      </c>
      <c r="J55" s="12" t="s">
        <v>174</v>
      </c>
      <c r="K55" s="14">
        <v>44796</v>
      </c>
      <c r="L55" s="12">
        <v>2022</v>
      </c>
      <c r="M55" s="15">
        <v>5</v>
      </c>
      <c r="N55" s="14">
        <v>44844</v>
      </c>
      <c r="O55" s="12">
        <v>2022</v>
      </c>
      <c r="P55" s="15">
        <v>5</v>
      </c>
      <c r="Q55" s="15">
        <v>3</v>
      </c>
      <c r="R55" s="12">
        <v>32</v>
      </c>
    </row>
    <row r="56" spans="1:18">
      <c r="A56" s="12" t="s">
        <v>175</v>
      </c>
      <c r="B56" s="12" t="s">
        <v>172</v>
      </c>
      <c r="C56" s="12" t="s">
        <v>20</v>
      </c>
      <c r="D56" s="12" t="s">
        <v>21</v>
      </c>
      <c r="E56" s="12" t="s">
        <v>29</v>
      </c>
      <c r="F56" s="12" t="s">
        <v>23</v>
      </c>
      <c r="G56" s="12" t="s">
        <v>50</v>
      </c>
      <c r="H56" s="12" t="s">
        <v>173</v>
      </c>
      <c r="I56" s="12" t="s">
        <v>173</v>
      </c>
      <c r="J56" s="12" t="s">
        <v>176</v>
      </c>
      <c r="K56" s="14">
        <v>44796</v>
      </c>
      <c r="L56" s="12">
        <v>2022</v>
      </c>
      <c r="M56" s="15">
        <v>2</v>
      </c>
      <c r="N56" s="14">
        <v>44813</v>
      </c>
      <c r="O56" s="12">
        <v>2022</v>
      </c>
      <c r="P56" s="15">
        <v>2</v>
      </c>
      <c r="Q56" s="15">
        <v>1</v>
      </c>
      <c r="R56" s="12">
        <v>12</v>
      </c>
    </row>
    <row r="57" spans="1:18">
      <c r="A57" s="12" t="s">
        <v>177</v>
      </c>
      <c r="B57" s="12" t="s">
        <v>178</v>
      </c>
      <c r="C57" s="12" t="s">
        <v>20</v>
      </c>
      <c r="D57" s="12" t="s">
        <v>21</v>
      </c>
      <c r="E57" s="12" t="s">
        <v>29</v>
      </c>
      <c r="F57" s="12" t="s">
        <v>23</v>
      </c>
      <c r="G57" s="12" t="s">
        <v>81</v>
      </c>
      <c r="H57" s="12" t="s">
        <v>159</v>
      </c>
      <c r="I57" s="12" t="s">
        <v>159</v>
      </c>
      <c r="J57" s="12" t="s">
        <v>179</v>
      </c>
      <c r="K57" s="14">
        <v>44789</v>
      </c>
      <c r="L57" s="12">
        <v>2022</v>
      </c>
      <c r="M57" s="15">
        <v>3</v>
      </c>
      <c r="N57" s="14">
        <v>44806</v>
      </c>
      <c r="O57" s="12">
        <v>2022</v>
      </c>
      <c r="P57" s="15">
        <v>3</v>
      </c>
      <c r="Q57" s="15">
        <v>2</v>
      </c>
      <c r="R57" s="12">
        <v>12</v>
      </c>
    </row>
    <row r="58" spans="1:18">
      <c r="A58" s="12" t="s">
        <v>180</v>
      </c>
      <c r="B58" s="12" t="s">
        <v>181</v>
      </c>
      <c r="C58" s="12" t="s">
        <v>20</v>
      </c>
      <c r="D58" s="12" t="s">
        <v>21</v>
      </c>
      <c r="E58" s="12" t="s">
        <v>29</v>
      </c>
      <c r="F58" s="12" t="s">
        <v>23</v>
      </c>
      <c r="G58" s="12" t="s">
        <v>50</v>
      </c>
      <c r="H58" s="12" t="s">
        <v>173</v>
      </c>
      <c r="I58" s="12" t="s">
        <v>173</v>
      </c>
      <c r="J58" s="12" t="s">
        <v>182</v>
      </c>
      <c r="K58" s="14">
        <v>44798</v>
      </c>
      <c r="L58" s="12">
        <v>2022</v>
      </c>
      <c r="M58" s="15">
        <v>12</v>
      </c>
      <c r="N58" s="14">
        <v>44816</v>
      </c>
      <c r="O58" s="12">
        <v>2022</v>
      </c>
      <c r="P58" s="15">
        <v>12</v>
      </c>
      <c r="Q58" s="15">
        <v>12</v>
      </c>
      <c r="R58" s="12">
        <v>11</v>
      </c>
    </row>
    <row r="59" spans="1:18">
      <c r="A59" s="12" t="s">
        <v>183</v>
      </c>
      <c r="B59" s="12" t="s">
        <v>184</v>
      </c>
      <c r="C59" s="12" t="s">
        <v>20</v>
      </c>
      <c r="D59" s="12" t="s">
        <v>21</v>
      </c>
      <c r="E59" s="12" t="s">
        <v>29</v>
      </c>
      <c r="F59" s="12" t="s">
        <v>23</v>
      </c>
      <c r="G59" s="12" t="s">
        <v>81</v>
      </c>
      <c r="H59" s="12" t="s">
        <v>65</v>
      </c>
      <c r="I59" s="12" t="s">
        <v>65</v>
      </c>
      <c r="J59" s="12" t="s">
        <v>185</v>
      </c>
      <c r="K59" s="14">
        <v>44792</v>
      </c>
      <c r="L59" s="12">
        <v>2022</v>
      </c>
      <c r="M59" s="15">
        <v>7</v>
      </c>
      <c r="N59" s="14">
        <v>44810</v>
      </c>
      <c r="O59" s="12">
        <v>2022</v>
      </c>
      <c r="P59" s="15">
        <v>7</v>
      </c>
      <c r="Q59" s="15">
        <v>1</v>
      </c>
      <c r="R59" s="12">
        <v>11</v>
      </c>
    </row>
    <row r="60" spans="1:18">
      <c r="A60" s="12" t="s">
        <v>186</v>
      </c>
      <c r="B60" s="12" t="s">
        <v>146</v>
      </c>
      <c r="C60" s="12" t="s">
        <v>20</v>
      </c>
      <c r="D60" s="12" t="s">
        <v>21</v>
      </c>
      <c r="E60" s="12" t="s">
        <v>29</v>
      </c>
      <c r="F60" s="12" t="s">
        <v>23</v>
      </c>
      <c r="G60" s="12" t="s">
        <v>24</v>
      </c>
      <c r="H60" s="12" t="s">
        <v>147</v>
      </c>
      <c r="I60" s="12" t="s">
        <v>148</v>
      </c>
      <c r="J60" s="12" t="s">
        <v>187</v>
      </c>
      <c r="K60" s="14">
        <v>44795</v>
      </c>
      <c r="L60" s="12">
        <v>2022</v>
      </c>
      <c r="M60" s="15">
        <v>19</v>
      </c>
      <c r="N60" s="14">
        <v>44830</v>
      </c>
      <c r="O60" s="12">
        <v>2022</v>
      </c>
      <c r="P60" s="15">
        <v>19</v>
      </c>
      <c r="Q60" s="15">
        <v>5</v>
      </c>
      <c r="R60" s="12">
        <v>24</v>
      </c>
    </row>
    <row r="61" spans="1:18">
      <c r="A61" s="12" t="s">
        <v>188</v>
      </c>
      <c r="B61" s="12" t="s">
        <v>189</v>
      </c>
      <c r="C61" s="12" t="s">
        <v>20</v>
      </c>
      <c r="D61" s="12" t="s">
        <v>21</v>
      </c>
      <c r="E61" s="12" t="s">
        <v>29</v>
      </c>
      <c r="F61" s="12" t="s">
        <v>23</v>
      </c>
      <c r="G61" s="12" t="s">
        <v>81</v>
      </c>
      <c r="H61" s="12" t="s">
        <v>173</v>
      </c>
      <c r="I61" s="12" t="s">
        <v>173</v>
      </c>
      <c r="J61" s="12" t="s">
        <v>190</v>
      </c>
      <c r="K61" s="14">
        <v>44806</v>
      </c>
      <c r="L61" s="12">
        <v>2022</v>
      </c>
      <c r="M61" s="15">
        <v>5</v>
      </c>
      <c r="N61" s="14">
        <v>44846</v>
      </c>
      <c r="O61" s="12">
        <v>2022</v>
      </c>
      <c r="P61" s="15">
        <v>5</v>
      </c>
      <c r="Q61" s="15">
        <v>1</v>
      </c>
      <c r="R61" s="12">
        <v>28</v>
      </c>
    </row>
    <row r="62" spans="1:18">
      <c r="A62" s="12" t="s">
        <v>191</v>
      </c>
      <c r="B62" s="12" t="s">
        <v>192</v>
      </c>
      <c r="C62" s="12" t="s">
        <v>20</v>
      </c>
      <c r="D62" s="12" t="s">
        <v>21</v>
      </c>
      <c r="E62" s="12" t="s">
        <v>29</v>
      </c>
      <c r="F62" s="12" t="s">
        <v>23</v>
      </c>
      <c r="G62" s="12" t="s">
        <v>81</v>
      </c>
      <c r="H62" s="12" t="s">
        <v>173</v>
      </c>
      <c r="I62" s="12" t="s">
        <v>173</v>
      </c>
      <c r="J62" s="12" t="s">
        <v>193</v>
      </c>
      <c r="K62" s="14">
        <v>44806</v>
      </c>
      <c r="L62" s="12">
        <v>2022</v>
      </c>
      <c r="M62" s="15">
        <v>7</v>
      </c>
      <c r="N62" s="14">
        <v>44834</v>
      </c>
      <c r="O62" s="12">
        <v>2022</v>
      </c>
      <c r="P62" s="15">
        <v>7</v>
      </c>
      <c r="Q62" s="15">
        <v>1</v>
      </c>
      <c r="R62" s="12">
        <v>21</v>
      </c>
    </row>
    <row r="63" spans="1:18">
      <c r="A63" s="12" t="s">
        <v>194</v>
      </c>
      <c r="B63" s="12" t="s">
        <v>195</v>
      </c>
      <c r="C63" s="12" t="s">
        <v>20</v>
      </c>
      <c r="D63" s="12" t="s">
        <v>21</v>
      </c>
      <c r="E63" s="12" t="s">
        <v>29</v>
      </c>
      <c r="F63" s="12" t="s">
        <v>23</v>
      </c>
      <c r="G63" s="12" t="s">
        <v>50</v>
      </c>
      <c r="H63" s="12" t="s">
        <v>196</v>
      </c>
      <c r="I63" s="12" t="s">
        <v>197</v>
      </c>
      <c r="J63" s="12" t="s">
        <v>198</v>
      </c>
      <c r="K63" s="14">
        <v>44831</v>
      </c>
      <c r="L63" s="12">
        <v>2022</v>
      </c>
      <c r="M63" s="15">
        <v>30</v>
      </c>
      <c r="N63" s="14">
        <v>44883</v>
      </c>
      <c r="O63" s="12">
        <v>2022</v>
      </c>
      <c r="P63" s="15">
        <v>30</v>
      </c>
      <c r="Q63" s="15">
        <v>4</v>
      </c>
      <c r="R63" s="12">
        <v>36</v>
      </c>
    </row>
    <row r="64" spans="1:18">
      <c r="A64" s="12" t="s">
        <v>199</v>
      </c>
      <c r="B64" s="12" t="s">
        <v>77</v>
      </c>
      <c r="C64" s="12" t="s">
        <v>20</v>
      </c>
      <c r="D64" s="12" t="s">
        <v>21</v>
      </c>
      <c r="E64" s="12" t="s">
        <v>29</v>
      </c>
      <c r="F64" s="12" t="s">
        <v>23</v>
      </c>
      <c r="G64" s="12" t="s">
        <v>24</v>
      </c>
      <c r="H64" s="12" t="s">
        <v>30</v>
      </c>
      <c r="I64" s="12" t="s">
        <v>30</v>
      </c>
      <c r="J64" s="12" t="s">
        <v>200</v>
      </c>
      <c r="K64" s="14">
        <v>44760</v>
      </c>
      <c r="L64" s="12">
        <v>2022</v>
      </c>
      <c r="M64" s="15">
        <v>12</v>
      </c>
      <c r="N64" s="14">
        <v>44776</v>
      </c>
      <c r="O64" s="12">
        <v>2022</v>
      </c>
      <c r="P64" s="15">
        <v>12</v>
      </c>
      <c r="Q64" s="15">
        <v>4</v>
      </c>
      <c r="R64" s="12">
        <v>11</v>
      </c>
    </row>
    <row r="65" spans="1:18">
      <c r="A65" s="12" t="s">
        <v>201</v>
      </c>
      <c r="B65" s="12" t="s">
        <v>102</v>
      </c>
      <c r="C65" s="12" t="s">
        <v>20</v>
      </c>
      <c r="D65" s="12" t="s">
        <v>21</v>
      </c>
      <c r="E65" s="12" t="s">
        <v>29</v>
      </c>
      <c r="F65" s="12" t="s">
        <v>23</v>
      </c>
      <c r="G65" s="12" t="s">
        <v>24</v>
      </c>
      <c r="H65" s="12" t="s">
        <v>103</v>
      </c>
      <c r="I65" s="12" t="s">
        <v>65</v>
      </c>
      <c r="J65" s="12" t="s">
        <v>202</v>
      </c>
      <c r="K65" s="14">
        <v>44746</v>
      </c>
      <c r="L65" s="12">
        <v>2022</v>
      </c>
      <c r="M65" s="15">
        <v>7</v>
      </c>
      <c r="N65" s="14">
        <v>45075</v>
      </c>
      <c r="O65" s="12">
        <v>2023</v>
      </c>
      <c r="P65" s="12">
        <v>7</v>
      </c>
      <c r="Q65" s="15">
        <v>1</v>
      </c>
      <c r="R65" s="12">
        <v>220</v>
      </c>
    </row>
    <row r="66" spans="1:18">
      <c r="A66" s="12" t="s">
        <v>203</v>
      </c>
      <c r="B66" s="12" t="s">
        <v>204</v>
      </c>
      <c r="C66" s="12" t="s">
        <v>20</v>
      </c>
      <c r="D66" s="12" t="s">
        <v>21</v>
      </c>
      <c r="E66" s="12" t="s">
        <v>29</v>
      </c>
      <c r="F66" s="12" t="s">
        <v>23</v>
      </c>
      <c r="G66" s="12" t="s">
        <v>81</v>
      </c>
      <c r="H66" s="12" t="s">
        <v>30</v>
      </c>
      <c r="I66" s="12" t="s">
        <v>30</v>
      </c>
      <c r="J66" s="12" t="s">
        <v>205</v>
      </c>
      <c r="K66" s="14">
        <v>44782</v>
      </c>
      <c r="L66" s="12">
        <v>2022</v>
      </c>
      <c r="M66" s="15">
        <v>10</v>
      </c>
      <c r="N66" s="14">
        <v>45275</v>
      </c>
      <c r="O66" s="12">
        <v>2023</v>
      </c>
      <c r="P66" s="12">
        <v>10</v>
      </c>
      <c r="Q66" s="15">
        <v>2</v>
      </c>
      <c r="R66" s="12">
        <v>331</v>
      </c>
    </row>
    <row r="67" spans="1:18">
      <c r="A67" s="12" t="s">
        <v>206</v>
      </c>
      <c r="B67" s="12" t="s">
        <v>102</v>
      </c>
      <c r="C67" s="12" t="s">
        <v>20</v>
      </c>
      <c r="D67" s="12" t="s">
        <v>21</v>
      </c>
      <c r="E67" s="12" t="s">
        <v>29</v>
      </c>
      <c r="F67" s="12" t="s">
        <v>23</v>
      </c>
      <c r="G67" s="12" t="s">
        <v>24</v>
      </c>
      <c r="H67" s="12" t="s">
        <v>103</v>
      </c>
      <c r="I67" s="12" t="s">
        <v>65</v>
      </c>
      <c r="J67" s="12" t="s">
        <v>207</v>
      </c>
      <c r="K67" s="14">
        <v>44740</v>
      </c>
      <c r="L67" s="12">
        <v>2022</v>
      </c>
      <c r="M67" s="15">
        <v>11</v>
      </c>
      <c r="N67" s="14">
        <v>45075</v>
      </c>
      <c r="O67" s="12">
        <v>2023</v>
      </c>
      <c r="P67" s="12">
        <v>11</v>
      </c>
      <c r="Q67" s="15">
        <v>1</v>
      </c>
      <c r="R67" s="12">
        <v>223</v>
      </c>
    </row>
    <row r="68" spans="1:18">
      <c r="A68" s="12" t="s">
        <v>208</v>
      </c>
      <c r="B68" s="12" t="s">
        <v>209</v>
      </c>
      <c r="C68" s="12" t="s">
        <v>20</v>
      </c>
      <c r="D68" s="12" t="s">
        <v>21</v>
      </c>
      <c r="E68" s="12" t="s">
        <v>29</v>
      </c>
      <c r="F68" s="12" t="s">
        <v>23</v>
      </c>
      <c r="G68" s="12" t="s">
        <v>24</v>
      </c>
      <c r="H68" s="12" t="s">
        <v>148</v>
      </c>
      <c r="I68" s="12" t="s">
        <v>148</v>
      </c>
      <c r="J68" s="12" t="s">
        <v>210</v>
      </c>
      <c r="K68" s="14">
        <v>44782</v>
      </c>
      <c r="L68" s="12">
        <v>2022</v>
      </c>
      <c r="M68" s="15">
        <v>40</v>
      </c>
      <c r="N68" s="14">
        <v>45068</v>
      </c>
      <c r="O68" s="12">
        <v>2023</v>
      </c>
      <c r="P68" s="12">
        <v>40</v>
      </c>
      <c r="Q68" s="15">
        <v>3</v>
      </c>
      <c r="R68" s="12">
        <v>191</v>
      </c>
    </row>
    <row r="69" spans="1:18">
      <c r="A69" s="12" t="s">
        <v>211</v>
      </c>
      <c r="B69" s="12" t="s">
        <v>181</v>
      </c>
      <c r="C69" s="12" t="s">
        <v>20</v>
      </c>
      <c r="D69" s="12" t="s">
        <v>21</v>
      </c>
      <c r="E69" s="12" t="s">
        <v>29</v>
      </c>
      <c r="F69" s="12" t="s">
        <v>23</v>
      </c>
      <c r="G69" s="12" t="s">
        <v>50</v>
      </c>
      <c r="H69" s="12" t="s">
        <v>173</v>
      </c>
      <c r="I69" s="12" t="s">
        <v>173</v>
      </c>
      <c r="J69" s="12" t="s">
        <v>212</v>
      </c>
      <c r="K69" s="14">
        <v>44798</v>
      </c>
      <c r="L69" s="12">
        <v>2022</v>
      </c>
      <c r="M69" s="15">
        <v>2</v>
      </c>
      <c r="N69" s="14">
        <v>45086</v>
      </c>
      <c r="O69" s="12">
        <v>2023</v>
      </c>
      <c r="P69" s="12">
        <v>2</v>
      </c>
      <c r="Q69" s="15">
        <v>2</v>
      </c>
      <c r="R69" s="12">
        <v>193</v>
      </c>
    </row>
    <row r="70" spans="1:18">
      <c r="A70" s="12" t="s">
        <v>213</v>
      </c>
      <c r="B70" s="12" t="s">
        <v>214</v>
      </c>
      <c r="C70" s="12" t="s">
        <v>20</v>
      </c>
      <c r="D70" s="12" t="s">
        <v>21</v>
      </c>
      <c r="E70" s="12" t="s">
        <v>29</v>
      </c>
      <c r="F70" s="12" t="s">
        <v>23</v>
      </c>
      <c r="G70" s="12" t="s">
        <v>81</v>
      </c>
      <c r="H70" s="12" t="s">
        <v>163</v>
      </c>
      <c r="I70" s="12" t="s">
        <v>159</v>
      </c>
      <c r="J70" s="12" t="s">
        <v>215</v>
      </c>
      <c r="K70" s="14">
        <v>44789</v>
      </c>
      <c r="L70" s="12">
        <v>2022</v>
      </c>
      <c r="M70" s="15">
        <v>6</v>
      </c>
      <c r="N70" s="14">
        <v>45075</v>
      </c>
      <c r="O70" s="12">
        <v>2023</v>
      </c>
      <c r="P70" s="12">
        <v>6</v>
      </c>
      <c r="Q70" s="15">
        <v>1</v>
      </c>
      <c r="R70" s="12">
        <v>191</v>
      </c>
    </row>
    <row r="71" spans="1:18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4"/>
      <c r="L71" s="12"/>
      <c r="M71" s="15"/>
      <c r="N71" s="14"/>
      <c r="O71" s="12"/>
      <c r="P71" s="15"/>
      <c r="Q71" s="15"/>
      <c r="R71" s="12"/>
    </row>
    <row r="72" spans="1:18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4"/>
      <c r="L72" s="12"/>
      <c r="M72" s="15"/>
      <c r="N72" s="14"/>
      <c r="O72" s="12"/>
      <c r="P72" s="15"/>
      <c r="Q72" s="15"/>
      <c r="R72" s="12"/>
    </row>
    <row r="73" spans="1:18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4"/>
      <c r="L73" s="12"/>
      <c r="M73" s="15"/>
      <c r="N73" s="14"/>
      <c r="O73" s="12"/>
      <c r="P73" s="15"/>
      <c r="Q73" s="15"/>
      <c r="R73" s="12"/>
    </row>
    <row r="74" spans="1:18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4"/>
      <c r="L74" s="12"/>
      <c r="M74" s="15"/>
      <c r="N74" s="14"/>
      <c r="O74" s="12"/>
      <c r="P74" s="15"/>
      <c r="Q74" s="15"/>
      <c r="R74" s="12"/>
    </row>
    <row r="75" spans="1:18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4"/>
      <c r="L75" s="12"/>
      <c r="M75" s="15"/>
      <c r="N75" s="14"/>
      <c r="O75" s="12"/>
      <c r="P75" s="15"/>
      <c r="Q75" s="15"/>
      <c r="R75" s="12"/>
    </row>
    <row r="76" spans="1:18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4"/>
      <c r="L76" s="12"/>
      <c r="M76" s="15"/>
      <c r="N76" s="14"/>
      <c r="O76" s="12"/>
      <c r="P76" s="15"/>
      <c r="Q76" s="15"/>
      <c r="R76" s="12"/>
    </row>
    <row r="77" spans="1:18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4"/>
      <c r="L77" s="12"/>
      <c r="M77" s="15"/>
      <c r="N77" s="14"/>
      <c r="O77" s="12"/>
      <c r="P77" s="15"/>
      <c r="Q77" s="15"/>
      <c r="R77" s="12"/>
    </row>
    <row r="78" spans="1:18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4"/>
      <c r="L78" s="12"/>
      <c r="M78" s="15"/>
      <c r="N78" s="14"/>
      <c r="O78" s="12"/>
      <c r="P78" s="15"/>
      <c r="Q78" s="15"/>
      <c r="R78" s="12"/>
    </row>
    <row r="79" spans="1:18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4"/>
      <c r="L79" s="12"/>
      <c r="M79" s="15"/>
      <c r="N79" s="14"/>
      <c r="O79" s="12"/>
      <c r="P79" s="15"/>
      <c r="Q79" s="15"/>
      <c r="R79" s="12"/>
    </row>
    <row r="80" spans="1:18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4"/>
      <c r="L80" s="12"/>
      <c r="M80" s="15"/>
      <c r="N80" s="14"/>
      <c r="O80" s="12"/>
      <c r="P80" s="15"/>
      <c r="Q80" s="15"/>
      <c r="R80" s="12"/>
    </row>
    <row r="81" spans="1:18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4"/>
      <c r="L81" s="12"/>
      <c r="M81" s="15"/>
      <c r="N81" s="14"/>
      <c r="O81" s="12"/>
      <c r="P81" s="15"/>
      <c r="Q81" s="15"/>
      <c r="R81" s="12"/>
    </row>
    <row r="82" spans="1:18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4"/>
      <c r="L82" s="12"/>
      <c r="M82" s="15"/>
      <c r="N82" s="14"/>
      <c r="O82" s="12"/>
      <c r="P82" s="15"/>
      <c r="Q82" s="15"/>
      <c r="R82" s="12"/>
    </row>
    <row r="83" spans="1:18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4"/>
      <c r="L83" s="12"/>
      <c r="M83" s="15"/>
      <c r="N83" s="14"/>
      <c r="O83" s="12"/>
      <c r="P83" s="15"/>
      <c r="Q83" s="15"/>
      <c r="R83" s="12"/>
    </row>
    <row r="84" spans="1:18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4"/>
      <c r="L84" s="12"/>
      <c r="M84" s="15"/>
      <c r="N84" s="14"/>
      <c r="O84" s="12"/>
      <c r="P84" s="15"/>
      <c r="Q84" s="15"/>
      <c r="R84" s="12"/>
    </row>
    <row r="85" spans="1:18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4"/>
      <c r="L85" s="12"/>
      <c r="M85" s="15"/>
      <c r="N85" s="14"/>
      <c r="O85" s="12"/>
      <c r="P85" s="15"/>
      <c r="Q85" s="15"/>
      <c r="R85" s="12"/>
    </row>
    <row r="86" spans="1:18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4"/>
      <c r="L86" s="12"/>
      <c r="M86" s="15"/>
      <c r="N86" s="14"/>
      <c r="O86" s="12"/>
      <c r="P86" s="15"/>
      <c r="Q86" s="15"/>
      <c r="R86" s="12"/>
    </row>
    <row r="87" spans="1:18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4"/>
      <c r="L87" s="12"/>
      <c r="M87" s="15"/>
      <c r="N87" s="14"/>
      <c r="O87" s="12"/>
      <c r="P87" s="15"/>
      <c r="Q87" s="15"/>
      <c r="R87" s="12"/>
    </row>
    <row r="88" spans="1:18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4"/>
      <c r="L88" s="12"/>
      <c r="M88" s="15"/>
      <c r="N88" s="14"/>
      <c r="O88" s="12"/>
      <c r="P88" s="15"/>
      <c r="Q88" s="15"/>
      <c r="R88" s="12"/>
    </row>
    <row r="89" spans="1:18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4"/>
      <c r="L89" s="12"/>
      <c r="M89" s="15"/>
      <c r="N89" s="14"/>
      <c r="O89" s="12"/>
      <c r="P89" s="15"/>
      <c r="Q89" s="15"/>
      <c r="R89" s="12"/>
    </row>
    <row r="90" spans="1:18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4"/>
      <c r="L90" s="12"/>
      <c r="M90" s="15"/>
      <c r="N90" s="14"/>
      <c r="O90" s="12"/>
      <c r="P90" s="15"/>
      <c r="Q90" s="15"/>
      <c r="R90" s="12"/>
    </row>
    <row r="91" spans="1:18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4"/>
      <c r="L91" s="12"/>
      <c r="M91" s="15"/>
      <c r="N91" s="14"/>
      <c r="O91" s="12"/>
      <c r="P91" s="15"/>
      <c r="Q91" s="15"/>
      <c r="R91" s="12"/>
    </row>
    <row r="92" spans="1:18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4"/>
      <c r="L92" s="12"/>
      <c r="M92" s="15"/>
      <c r="N92" s="14"/>
      <c r="O92" s="12"/>
      <c r="P92" s="15"/>
      <c r="Q92" s="15"/>
      <c r="R92" s="12"/>
    </row>
    <row r="93" spans="1:18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4"/>
      <c r="L93" s="12"/>
      <c r="M93" s="15"/>
      <c r="N93" s="14"/>
      <c r="O93" s="12"/>
      <c r="P93" s="15"/>
      <c r="Q93" s="15"/>
      <c r="R93" s="12"/>
    </row>
    <row r="94" spans="1:18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4"/>
      <c r="L94" s="12"/>
      <c r="M94" s="15"/>
      <c r="N94" s="14"/>
      <c r="O94" s="12"/>
      <c r="P94" s="15"/>
      <c r="Q94" s="15"/>
      <c r="R94" s="12"/>
    </row>
    <row r="95" spans="1:18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4"/>
      <c r="L95" s="12"/>
      <c r="M95" s="15"/>
      <c r="N95" s="14"/>
      <c r="O95" s="12"/>
      <c r="P95" s="15"/>
      <c r="Q95" s="15"/>
      <c r="R95" s="12"/>
    </row>
    <row r="96" spans="1:18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4"/>
      <c r="L96" s="12"/>
      <c r="M96" s="15"/>
      <c r="N96" s="14"/>
      <c r="O96" s="12"/>
      <c r="P96" s="15"/>
      <c r="Q96" s="15"/>
      <c r="R96" s="12"/>
    </row>
    <row r="97" spans="1:18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4"/>
      <c r="L97" s="12"/>
      <c r="M97" s="15"/>
      <c r="N97" s="14"/>
      <c r="O97" s="12"/>
      <c r="P97" s="15"/>
      <c r="Q97" s="15"/>
      <c r="R97" s="12"/>
    </row>
    <row r="98" spans="1:18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4"/>
      <c r="L98" s="12"/>
      <c r="M98" s="15"/>
      <c r="N98" s="14"/>
      <c r="O98" s="12"/>
      <c r="P98" s="15"/>
      <c r="Q98" s="15"/>
      <c r="R98" s="12"/>
    </row>
    <row r="99" spans="1:18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4"/>
      <c r="L99" s="12"/>
      <c r="M99" s="15"/>
      <c r="N99" s="14"/>
      <c r="O99" s="12"/>
      <c r="P99" s="15"/>
      <c r="Q99" s="15"/>
      <c r="R99" s="12"/>
    </row>
    <row r="100" spans="1:18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4"/>
      <c r="L100" s="12"/>
      <c r="M100" s="15"/>
      <c r="N100" s="14"/>
      <c r="O100" s="12"/>
      <c r="P100" s="15"/>
      <c r="Q100" s="15"/>
      <c r="R100" s="12"/>
    </row>
    <row r="101" spans="1:18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4"/>
      <c r="L101" s="12"/>
      <c r="M101" s="15"/>
      <c r="N101" s="14"/>
      <c r="O101" s="12"/>
      <c r="P101" s="15"/>
      <c r="Q101" s="15"/>
      <c r="R101" s="12"/>
    </row>
    <row r="102" spans="1:18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4"/>
      <c r="L102" s="12"/>
      <c r="M102" s="15"/>
      <c r="N102" s="14"/>
      <c r="O102" s="12"/>
      <c r="P102" s="15"/>
      <c r="Q102" s="15"/>
      <c r="R102" s="12"/>
    </row>
    <row r="103" spans="1:18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4"/>
      <c r="L103" s="12"/>
      <c r="M103" s="15"/>
      <c r="N103" s="14"/>
      <c r="O103" s="12"/>
      <c r="P103" s="15"/>
      <c r="Q103" s="15"/>
      <c r="R103" s="12"/>
    </row>
    <row r="104" spans="1:18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4"/>
      <c r="L104" s="12"/>
      <c r="M104" s="15"/>
      <c r="N104" s="14"/>
      <c r="O104" s="12"/>
      <c r="P104" s="15"/>
      <c r="Q104" s="15"/>
      <c r="R104" s="12"/>
    </row>
    <row r="105" spans="1:18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4"/>
      <c r="L105" s="12"/>
      <c r="M105" s="15"/>
      <c r="N105" s="14"/>
      <c r="O105" s="12"/>
      <c r="P105" s="15"/>
      <c r="Q105" s="15"/>
      <c r="R105" s="12"/>
    </row>
    <row r="106" spans="1:18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4"/>
      <c r="L106" s="12"/>
      <c r="M106" s="15"/>
      <c r="N106" s="14"/>
      <c r="O106" s="12"/>
      <c r="P106" s="15"/>
      <c r="Q106" s="15"/>
      <c r="R106" s="12"/>
    </row>
    <row r="107" spans="1:18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4"/>
      <c r="L107" s="12"/>
      <c r="M107" s="15"/>
      <c r="N107" s="14"/>
      <c r="O107" s="12"/>
      <c r="P107" s="15"/>
      <c r="Q107" s="15"/>
      <c r="R107" s="12"/>
    </row>
    <row r="108" spans="1:18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4"/>
      <c r="L108" s="12"/>
      <c r="M108" s="15"/>
      <c r="N108" s="14"/>
      <c r="O108" s="12"/>
      <c r="P108" s="15"/>
      <c r="Q108" s="15"/>
      <c r="R108" s="12"/>
    </row>
    <row r="109" spans="1:18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4"/>
      <c r="L109" s="12"/>
      <c r="M109" s="15"/>
      <c r="N109" s="14"/>
      <c r="O109" s="12"/>
      <c r="P109" s="15"/>
      <c r="Q109" s="15"/>
      <c r="R109" s="12"/>
    </row>
    <row r="110" spans="1:18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4"/>
      <c r="L110" s="12"/>
      <c r="M110" s="15"/>
      <c r="N110" s="14"/>
      <c r="O110" s="12"/>
      <c r="P110" s="15"/>
      <c r="Q110" s="15"/>
      <c r="R110" s="12"/>
    </row>
    <row r="111" spans="1:18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4"/>
      <c r="L111" s="12"/>
      <c r="M111" s="15"/>
      <c r="N111" s="14"/>
      <c r="O111" s="12"/>
      <c r="P111" s="15"/>
      <c r="Q111" s="15"/>
      <c r="R111" s="12"/>
    </row>
    <row r="112" spans="1:18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4"/>
      <c r="L112" s="12"/>
      <c r="M112" s="15"/>
      <c r="N112" s="14"/>
      <c r="O112" s="12"/>
      <c r="P112" s="15"/>
      <c r="Q112" s="15"/>
      <c r="R112" s="12"/>
    </row>
    <row r="113" spans="1:18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4"/>
      <c r="L113" s="12"/>
      <c r="M113" s="15"/>
      <c r="N113" s="14"/>
      <c r="O113" s="12"/>
      <c r="P113" s="15"/>
      <c r="Q113" s="15"/>
      <c r="R113" s="12"/>
    </row>
    <row r="114" spans="1:18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4"/>
      <c r="L114" s="12"/>
      <c r="M114" s="15"/>
      <c r="N114" s="14"/>
      <c r="O114" s="12"/>
      <c r="P114" s="15"/>
      <c r="Q114" s="15"/>
      <c r="R114" s="12"/>
    </row>
    <row r="115" spans="1:18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4"/>
      <c r="L115" s="12"/>
      <c r="M115" s="15"/>
      <c r="N115" s="14"/>
      <c r="O115" s="12"/>
      <c r="P115" s="15"/>
      <c r="Q115" s="15"/>
      <c r="R115" s="12"/>
    </row>
    <row r="116" spans="1:18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4"/>
      <c r="L116" s="12"/>
      <c r="M116" s="15"/>
      <c r="N116" s="14"/>
      <c r="O116" s="12"/>
      <c r="P116" s="15"/>
      <c r="Q116" s="15"/>
      <c r="R116" s="12"/>
    </row>
    <row r="117" spans="1:18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4"/>
      <c r="L117" s="12"/>
      <c r="M117" s="15"/>
      <c r="N117" s="14"/>
      <c r="O117" s="12"/>
      <c r="P117" s="15"/>
      <c r="Q117" s="15"/>
      <c r="R117" s="12"/>
    </row>
    <row r="118" spans="1:18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4"/>
      <c r="L118" s="12"/>
      <c r="M118" s="15"/>
      <c r="N118" s="14"/>
      <c r="O118" s="12"/>
      <c r="P118" s="15"/>
      <c r="Q118" s="15"/>
      <c r="R118" s="12"/>
    </row>
    <row r="119" spans="1:18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4"/>
      <c r="L119" s="12"/>
      <c r="M119" s="15"/>
      <c r="N119" s="14"/>
      <c r="O119" s="12"/>
      <c r="P119" s="15"/>
      <c r="Q119" s="15"/>
      <c r="R119" s="12"/>
    </row>
    <row r="120" spans="1:18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4"/>
      <c r="L120" s="12"/>
      <c r="M120" s="15"/>
      <c r="N120" s="14"/>
      <c r="O120" s="12"/>
      <c r="P120" s="15"/>
      <c r="Q120" s="15"/>
      <c r="R120" s="12"/>
    </row>
    <row r="121" spans="1:18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4"/>
      <c r="L121" s="12"/>
      <c r="M121" s="15"/>
      <c r="N121" s="14"/>
      <c r="O121" s="12"/>
      <c r="P121" s="15"/>
      <c r="Q121" s="15"/>
      <c r="R121" s="12"/>
    </row>
    <row r="122" spans="1:18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4"/>
      <c r="L122" s="12"/>
      <c r="M122" s="15"/>
      <c r="N122" s="14"/>
      <c r="O122" s="12"/>
      <c r="P122" s="15"/>
      <c r="Q122" s="15"/>
      <c r="R122" s="12"/>
    </row>
    <row r="123" spans="1:18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4"/>
      <c r="L123" s="12"/>
      <c r="M123" s="15"/>
      <c r="N123" s="14"/>
      <c r="O123" s="12"/>
      <c r="P123" s="15"/>
      <c r="Q123" s="15"/>
      <c r="R123" s="12"/>
    </row>
    <row r="124" spans="1:18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4"/>
      <c r="L124" s="12"/>
      <c r="M124" s="15"/>
      <c r="N124" s="14"/>
      <c r="O124" s="12"/>
      <c r="P124" s="15"/>
      <c r="Q124" s="15"/>
      <c r="R124" s="12"/>
    </row>
    <row r="125" spans="1:18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4"/>
      <c r="L125" s="12"/>
      <c r="M125" s="15"/>
      <c r="N125" s="14"/>
      <c r="O125" s="12"/>
      <c r="P125" s="15"/>
      <c r="Q125" s="15"/>
      <c r="R125" s="12"/>
    </row>
    <row r="126" spans="1:18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4"/>
      <c r="L126" s="12"/>
      <c r="M126" s="15"/>
      <c r="N126" s="14"/>
      <c r="O126" s="12"/>
      <c r="P126" s="15"/>
      <c r="Q126" s="15"/>
      <c r="R126" s="12"/>
    </row>
    <row r="127" spans="1:18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4"/>
      <c r="L127" s="12"/>
      <c r="M127" s="15"/>
      <c r="N127" s="14"/>
      <c r="O127" s="12"/>
      <c r="P127" s="15"/>
      <c r="Q127" s="15"/>
      <c r="R127" s="12"/>
    </row>
    <row r="128" spans="1:18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4"/>
      <c r="L128" s="12"/>
      <c r="M128" s="15"/>
      <c r="N128" s="14"/>
      <c r="O128" s="12"/>
      <c r="P128" s="15"/>
      <c r="Q128" s="15"/>
      <c r="R128" s="12"/>
    </row>
    <row r="129" spans="1:18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4"/>
      <c r="L129" s="12"/>
      <c r="M129" s="15"/>
      <c r="N129" s="14"/>
      <c r="O129" s="12"/>
      <c r="P129" s="15"/>
      <c r="Q129" s="15"/>
      <c r="R129" s="12"/>
    </row>
    <row r="130" spans="1:18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4"/>
      <c r="L130" s="12"/>
      <c r="M130" s="15"/>
      <c r="N130" s="14"/>
      <c r="O130" s="12"/>
      <c r="P130" s="15"/>
      <c r="Q130" s="15"/>
      <c r="R130" s="12"/>
    </row>
    <row r="131" spans="1:18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4"/>
      <c r="L131" s="12"/>
      <c r="M131" s="15"/>
      <c r="N131" s="14"/>
      <c r="O131" s="12"/>
      <c r="P131" s="15"/>
      <c r="Q131" s="15"/>
      <c r="R131" s="12"/>
    </row>
    <row r="132" spans="1:18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4"/>
      <c r="L132" s="12"/>
      <c r="M132" s="15"/>
      <c r="N132" s="14"/>
      <c r="O132" s="12"/>
      <c r="P132" s="15"/>
      <c r="Q132" s="15"/>
      <c r="R132" s="12"/>
    </row>
    <row r="133" spans="1:18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4"/>
      <c r="L133" s="12"/>
      <c r="M133" s="15"/>
      <c r="N133" s="14"/>
      <c r="O133" s="12"/>
      <c r="P133" s="15"/>
      <c r="Q133" s="15"/>
      <c r="R133" s="12"/>
    </row>
    <row r="134" spans="1:18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4"/>
      <c r="L134" s="12"/>
      <c r="M134" s="15"/>
      <c r="N134" s="14"/>
      <c r="O134" s="12"/>
      <c r="P134" s="15"/>
      <c r="Q134" s="15"/>
      <c r="R134" s="12"/>
    </row>
    <row r="135" spans="1:18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4"/>
      <c r="L135" s="12"/>
      <c r="M135" s="15"/>
      <c r="N135" s="14"/>
      <c r="O135" s="12"/>
      <c r="P135" s="15"/>
      <c r="Q135" s="15"/>
      <c r="R135" s="12"/>
    </row>
    <row r="136" spans="1:18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4"/>
      <c r="L136" s="12"/>
      <c r="M136" s="15"/>
      <c r="N136" s="14"/>
      <c r="O136" s="12"/>
      <c r="P136" s="15"/>
      <c r="Q136" s="15"/>
      <c r="R136" s="12"/>
    </row>
    <row r="137" spans="1:18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4"/>
      <c r="L137" s="12"/>
      <c r="M137" s="15"/>
      <c r="N137" s="14"/>
      <c r="O137" s="12"/>
      <c r="P137" s="15"/>
      <c r="Q137" s="15"/>
      <c r="R137" s="12"/>
    </row>
    <row r="138" spans="1:18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4"/>
      <c r="L138" s="12"/>
      <c r="M138" s="15"/>
      <c r="N138" s="14"/>
      <c r="O138" s="12"/>
      <c r="P138" s="15"/>
      <c r="Q138" s="15"/>
      <c r="R138" s="12"/>
    </row>
    <row r="139" spans="1:18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4"/>
      <c r="L139" s="12"/>
      <c r="M139" s="15"/>
      <c r="N139" s="14"/>
      <c r="O139" s="12"/>
      <c r="P139" s="15"/>
      <c r="Q139" s="15"/>
      <c r="R139" s="12"/>
    </row>
    <row r="140" spans="1:18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4"/>
      <c r="L140" s="12"/>
      <c r="M140" s="15"/>
      <c r="N140" s="14"/>
      <c r="O140" s="12"/>
      <c r="P140" s="15"/>
      <c r="Q140" s="15"/>
      <c r="R140" s="12"/>
    </row>
    <row r="141" spans="1:18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4"/>
      <c r="L141" s="12"/>
      <c r="M141" s="15"/>
      <c r="N141" s="14"/>
      <c r="O141" s="12"/>
      <c r="P141" s="15"/>
      <c r="Q141" s="15"/>
      <c r="R141" s="12"/>
    </row>
    <row r="142" spans="1:18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4"/>
      <c r="L142" s="12"/>
      <c r="M142" s="15"/>
      <c r="N142" s="14"/>
      <c r="O142" s="12"/>
      <c r="P142" s="15"/>
      <c r="Q142" s="15"/>
      <c r="R142" s="12"/>
    </row>
    <row r="143" spans="1:18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4"/>
      <c r="L143" s="12"/>
      <c r="M143" s="15"/>
      <c r="N143" s="14"/>
      <c r="O143" s="12"/>
      <c r="P143" s="15"/>
      <c r="Q143" s="15"/>
      <c r="R143" s="12"/>
    </row>
    <row r="144" spans="1:18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4"/>
      <c r="L144" s="12"/>
      <c r="M144" s="15"/>
      <c r="N144" s="14"/>
      <c r="O144" s="12"/>
      <c r="P144" s="15"/>
      <c r="Q144" s="15"/>
      <c r="R144" s="12"/>
    </row>
    <row r="145" spans="1:18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4"/>
      <c r="L145" s="12"/>
      <c r="M145" s="15"/>
      <c r="N145" s="14"/>
      <c r="O145" s="12"/>
      <c r="P145" s="15"/>
      <c r="Q145" s="15"/>
      <c r="R145" s="12"/>
    </row>
    <row r="146" spans="1:18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4"/>
      <c r="L146" s="12"/>
      <c r="M146" s="15"/>
      <c r="N146" s="14"/>
      <c r="O146" s="12"/>
      <c r="P146" s="15"/>
      <c r="Q146" s="15"/>
      <c r="R146" s="12"/>
    </row>
    <row r="147" spans="1:18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4"/>
      <c r="L147" s="12"/>
      <c r="M147" s="15"/>
      <c r="N147" s="14"/>
      <c r="O147" s="12"/>
      <c r="P147" s="15"/>
      <c r="Q147" s="15"/>
      <c r="R147" s="12"/>
    </row>
    <row r="148" spans="1:18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4"/>
      <c r="L148" s="12"/>
      <c r="M148" s="15"/>
      <c r="N148" s="14"/>
      <c r="O148" s="12"/>
      <c r="P148" s="15"/>
      <c r="Q148" s="15"/>
      <c r="R148" s="12"/>
    </row>
    <row r="149" spans="1:18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4"/>
      <c r="L149" s="12"/>
      <c r="M149" s="15"/>
      <c r="N149" s="14"/>
      <c r="O149" s="12"/>
      <c r="P149" s="15"/>
      <c r="Q149" s="15"/>
      <c r="R149" s="12"/>
    </row>
    <row r="150" spans="1:18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4"/>
      <c r="L150" s="12"/>
      <c r="M150" s="15"/>
      <c r="N150" s="14"/>
      <c r="O150" s="12"/>
      <c r="P150" s="15"/>
      <c r="Q150" s="15"/>
      <c r="R150" s="12"/>
    </row>
    <row r="151" spans="1:18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4"/>
      <c r="L151" s="12"/>
      <c r="M151" s="15"/>
      <c r="N151" s="14"/>
      <c r="O151" s="12"/>
      <c r="P151" s="15"/>
      <c r="Q151" s="15"/>
      <c r="R151" s="12"/>
    </row>
    <row r="152" spans="1:18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4"/>
      <c r="L152" s="12"/>
      <c r="M152" s="15"/>
      <c r="N152" s="14"/>
      <c r="O152" s="12"/>
      <c r="P152" s="15"/>
      <c r="Q152" s="15"/>
      <c r="R152" s="12"/>
    </row>
    <row r="153" spans="1:18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4"/>
      <c r="L153" s="12"/>
      <c r="M153" s="15"/>
      <c r="N153" s="14"/>
      <c r="O153" s="12"/>
      <c r="P153" s="15"/>
      <c r="Q153" s="15"/>
      <c r="R153" s="12"/>
    </row>
    <row r="154" spans="1:18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4"/>
      <c r="L154" s="12"/>
      <c r="M154" s="15"/>
      <c r="N154" s="14"/>
      <c r="O154" s="12"/>
      <c r="P154" s="15"/>
      <c r="Q154" s="15"/>
      <c r="R154" s="12"/>
    </row>
    <row r="155" spans="1:18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4"/>
      <c r="L155" s="12"/>
      <c r="M155" s="15"/>
      <c r="N155" s="14"/>
      <c r="O155" s="12"/>
      <c r="P155" s="15"/>
      <c r="Q155" s="15"/>
      <c r="R155" s="12"/>
    </row>
    <row r="156" spans="1:18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4"/>
      <c r="L156" s="12"/>
      <c r="M156" s="15"/>
      <c r="N156" s="14"/>
      <c r="O156" s="12"/>
      <c r="P156" s="15"/>
      <c r="Q156" s="15"/>
      <c r="R156" s="12"/>
    </row>
    <row r="157" spans="1:18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4"/>
      <c r="L157" s="12"/>
      <c r="M157" s="15"/>
      <c r="N157" s="14"/>
      <c r="O157" s="12"/>
      <c r="P157" s="15"/>
      <c r="Q157" s="15"/>
      <c r="R157" s="12"/>
    </row>
    <row r="158" spans="1:18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4"/>
      <c r="L158" s="12"/>
      <c r="M158" s="15"/>
      <c r="N158" s="14"/>
      <c r="O158" s="12"/>
      <c r="P158" s="15"/>
      <c r="Q158" s="15"/>
      <c r="R158" s="12"/>
    </row>
    <row r="159" spans="1:18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4"/>
      <c r="L159" s="12"/>
      <c r="M159" s="15"/>
      <c r="N159" s="14"/>
      <c r="O159" s="12"/>
      <c r="P159" s="15"/>
      <c r="Q159" s="15"/>
      <c r="R159" s="12"/>
    </row>
    <row r="160" spans="1:18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4"/>
      <c r="L160" s="12"/>
      <c r="M160" s="15"/>
      <c r="N160" s="14"/>
      <c r="O160" s="12"/>
      <c r="P160" s="15"/>
      <c r="Q160" s="15"/>
      <c r="R160" s="12"/>
    </row>
    <row r="161" spans="1:18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4"/>
      <c r="L161" s="12"/>
      <c r="M161" s="15"/>
      <c r="N161" s="14"/>
      <c r="O161" s="12"/>
      <c r="P161" s="15"/>
      <c r="Q161" s="15"/>
      <c r="R161" s="12"/>
    </row>
    <row r="162" spans="1:18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4"/>
      <c r="L162" s="12"/>
      <c r="M162" s="15"/>
      <c r="N162" s="14"/>
      <c r="O162" s="12"/>
      <c r="P162" s="15"/>
      <c r="Q162" s="15"/>
      <c r="R162" s="12"/>
    </row>
    <row r="163" spans="1:18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4"/>
      <c r="L163" s="12"/>
      <c r="M163" s="15"/>
      <c r="N163" s="14"/>
      <c r="O163" s="12"/>
      <c r="P163" s="15"/>
      <c r="Q163" s="15"/>
      <c r="R163" s="12"/>
    </row>
    <row r="164" spans="1:18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4"/>
      <c r="L164" s="12"/>
      <c r="M164" s="15"/>
      <c r="N164" s="14"/>
      <c r="O164" s="12"/>
      <c r="P164" s="15"/>
      <c r="Q164" s="15"/>
      <c r="R164" s="12"/>
    </row>
    <row r="165" spans="1:18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4"/>
      <c r="L165" s="12"/>
      <c r="M165" s="15"/>
      <c r="N165" s="14"/>
      <c r="O165" s="12"/>
      <c r="P165" s="15"/>
      <c r="Q165" s="15"/>
      <c r="R165" s="12"/>
    </row>
    <row r="166" spans="1:18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4"/>
      <c r="L166" s="12"/>
      <c r="M166" s="15"/>
      <c r="N166" s="14"/>
      <c r="O166" s="12"/>
      <c r="P166" s="15"/>
      <c r="Q166" s="15"/>
      <c r="R166" s="12"/>
    </row>
    <row r="167" spans="1:18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4"/>
      <c r="L167" s="12"/>
      <c r="M167" s="15"/>
      <c r="N167" s="14"/>
      <c r="O167" s="12"/>
      <c r="P167" s="15"/>
      <c r="Q167" s="15"/>
      <c r="R167" s="12"/>
    </row>
    <row r="168" spans="1:18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4"/>
      <c r="L168" s="12"/>
      <c r="M168" s="15"/>
      <c r="N168" s="14"/>
      <c r="O168" s="12"/>
      <c r="P168" s="15"/>
      <c r="Q168" s="15"/>
      <c r="R168" s="12"/>
    </row>
    <row r="169" spans="1:18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4"/>
      <c r="L169" s="12"/>
      <c r="M169" s="15"/>
      <c r="N169" s="14"/>
      <c r="O169" s="12"/>
      <c r="P169" s="15"/>
      <c r="Q169" s="15"/>
      <c r="R169" s="12"/>
    </row>
    <row r="170" spans="1:18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4"/>
      <c r="L170" s="12"/>
      <c r="M170" s="15"/>
      <c r="N170" s="14"/>
      <c r="O170" s="12"/>
      <c r="P170" s="15"/>
      <c r="Q170" s="15"/>
      <c r="R170" s="12"/>
    </row>
    <row r="171" spans="1:18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4"/>
      <c r="L171" s="12"/>
      <c r="M171" s="15"/>
      <c r="N171" s="14"/>
      <c r="O171" s="12"/>
      <c r="P171" s="15"/>
      <c r="Q171" s="15"/>
      <c r="R171" s="12"/>
    </row>
    <row r="172" spans="1:18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4"/>
      <c r="L172" s="12"/>
      <c r="M172" s="15"/>
      <c r="N172" s="14"/>
      <c r="O172" s="12"/>
      <c r="P172" s="15"/>
      <c r="Q172" s="15"/>
      <c r="R172" s="12"/>
    </row>
    <row r="173" spans="1:18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4"/>
      <c r="L173" s="12"/>
      <c r="M173" s="15"/>
      <c r="N173" s="14"/>
      <c r="O173" s="12"/>
      <c r="P173" s="15"/>
      <c r="Q173" s="15"/>
      <c r="R173" s="12"/>
    </row>
    <row r="174" spans="1:18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4"/>
      <c r="L174" s="12"/>
      <c r="M174" s="15"/>
      <c r="N174" s="14"/>
      <c r="O174" s="12"/>
      <c r="P174" s="15"/>
      <c r="Q174" s="15"/>
      <c r="R174" s="12"/>
    </row>
    <row r="175" spans="1:18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4"/>
      <c r="L175" s="12"/>
      <c r="M175" s="15"/>
      <c r="N175" s="14"/>
      <c r="O175" s="12"/>
      <c r="P175" s="15"/>
      <c r="Q175" s="15"/>
      <c r="R175" s="12"/>
    </row>
    <row r="176" spans="1:18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4"/>
      <c r="L176" s="12"/>
      <c r="M176" s="15"/>
      <c r="N176" s="14"/>
      <c r="O176" s="12"/>
      <c r="P176" s="15"/>
      <c r="Q176" s="15"/>
      <c r="R176" s="12"/>
    </row>
    <row r="177" spans="1:18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4"/>
      <c r="L177" s="12"/>
      <c r="M177" s="15"/>
      <c r="N177" s="14"/>
      <c r="O177" s="12"/>
      <c r="P177" s="15"/>
      <c r="Q177" s="15"/>
      <c r="R177" s="12"/>
    </row>
    <row r="178" spans="1:18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4"/>
      <c r="L178" s="12"/>
      <c r="M178" s="15"/>
      <c r="N178" s="14"/>
      <c r="O178" s="12"/>
      <c r="P178" s="15"/>
      <c r="Q178" s="15"/>
      <c r="R178" s="12"/>
    </row>
    <row r="179" spans="1:18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4"/>
      <c r="L179" s="12"/>
      <c r="M179" s="15"/>
      <c r="N179" s="14"/>
      <c r="O179" s="12"/>
      <c r="P179" s="15"/>
      <c r="Q179" s="15"/>
      <c r="R179" s="12"/>
    </row>
    <row r="180" spans="1:18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4"/>
      <c r="L180" s="12"/>
      <c r="M180" s="15"/>
      <c r="N180" s="14"/>
      <c r="O180" s="12"/>
      <c r="P180" s="15"/>
      <c r="Q180" s="15"/>
      <c r="R180" s="12"/>
    </row>
    <row r="181" spans="1:18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4"/>
      <c r="L181" s="12"/>
      <c r="M181" s="15"/>
      <c r="N181" s="14"/>
      <c r="O181" s="12"/>
      <c r="P181" s="15"/>
      <c r="Q181" s="15"/>
      <c r="R181" s="12"/>
    </row>
    <row r="182" spans="1:18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4"/>
      <c r="L182" s="12"/>
      <c r="M182" s="15"/>
      <c r="N182" s="14"/>
      <c r="O182" s="12"/>
      <c r="P182" s="15"/>
      <c r="Q182" s="15"/>
      <c r="R182" s="12"/>
    </row>
    <row r="183" spans="1:18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4"/>
      <c r="L183" s="12"/>
      <c r="M183" s="15"/>
      <c r="N183" s="14"/>
      <c r="O183" s="12"/>
      <c r="P183" s="15"/>
      <c r="Q183" s="15"/>
      <c r="R183" s="12"/>
    </row>
    <row r="184" spans="1:18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4"/>
      <c r="L184" s="12"/>
      <c r="M184" s="15"/>
      <c r="N184" s="14"/>
      <c r="O184" s="12"/>
      <c r="P184" s="15"/>
      <c r="Q184" s="15"/>
      <c r="R184" s="12"/>
    </row>
    <row r="185" spans="1:18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4"/>
      <c r="L185" s="12"/>
      <c r="M185" s="15"/>
      <c r="N185" s="14"/>
      <c r="O185" s="12"/>
      <c r="P185" s="15"/>
      <c r="Q185" s="15"/>
      <c r="R185" s="12"/>
    </row>
    <row r="186" spans="1:18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4"/>
      <c r="L186" s="12"/>
      <c r="M186" s="15"/>
      <c r="N186" s="14"/>
      <c r="O186" s="12"/>
      <c r="P186" s="15"/>
      <c r="Q186" s="15"/>
      <c r="R186" s="12"/>
    </row>
    <row r="187" spans="1:18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4"/>
      <c r="L187" s="12"/>
      <c r="M187" s="15"/>
      <c r="N187" s="14"/>
      <c r="O187" s="12"/>
      <c r="P187" s="15"/>
      <c r="Q187" s="15"/>
      <c r="R187" s="12"/>
    </row>
    <row r="188" spans="1:18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4"/>
      <c r="L188" s="12"/>
      <c r="M188" s="15"/>
      <c r="N188" s="14"/>
      <c r="O188" s="12"/>
      <c r="P188" s="15"/>
      <c r="Q188" s="15"/>
      <c r="R188" s="12"/>
    </row>
    <row r="189" spans="1:18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4"/>
      <c r="L189" s="12"/>
      <c r="M189" s="15"/>
      <c r="N189" s="14"/>
      <c r="O189" s="12"/>
      <c r="P189" s="15"/>
      <c r="Q189" s="15"/>
      <c r="R189" s="12"/>
    </row>
    <row r="190" spans="1:18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4"/>
      <c r="L190" s="12"/>
      <c r="M190" s="15"/>
      <c r="N190" s="14"/>
      <c r="O190" s="12"/>
      <c r="P190" s="15"/>
      <c r="Q190" s="15"/>
      <c r="R190" s="12"/>
    </row>
    <row r="191" spans="1:18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4"/>
      <c r="L191" s="12"/>
      <c r="M191" s="15"/>
      <c r="N191" s="14"/>
      <c r="O191" s="12"/>
      <c r="P191" s="15"/>
      <c r="Q191" s="15"/>
      <c r="R191" s="12"/>
    </row>
    <row r="192" spans="1:18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4"/>
      <c r="L192" s="12"/>
      <c r="M192" s="15"/>
      <c r="N192" s="14"/>
      <c r="O192" s="12"/>
      <c r="P192" s="15"/>
      <c r="Q192" s="15"/>
      <c r="R192" s="12"/>
    </row>
    <row r="193" spans="1:18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4"/>
      <c r="L193" s="12"/>
      <c r="M193" s="15"/>
      <c r="N193" s="14"/>
      <c r="O193" s="12"/>
      <c r="P193" s="15"/>
      <c r="Q193" s="15"/>
      <c r="R193" s="12"/>
    </row>
    <row r="194" spans="1:18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4"/>
      <c r="L194" s="12"/>
      <c r="M194" s="15"/>
      <c r="N194" s="14"/>
      <c r="O194" s="12"/>
      <c r="P194" s="15"/>
      <c r="Q194" s="15"/>
      <c r="R194" s="12"/>
    </row>
    <row r="195" spans="1:18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4"/>
      <c r="L195" s="12"/>
      <c r="M195" s="15"/>
      <c r="N195" s="14"/>
      <c r="O195" s="12"/>
      <c r="P195" s="15"/>
      <c r="Q195" s="15"/>
      <c r="R195" s="12"/>
    </row>
    <row r="196" spans="1:18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4"/>
      <c r="L196" s="12"/>
      <c r="M196" s="15"/>
      <c r="N196" s="14"/>
      <c r="O196" s="12"/>
      <c r="P196" s="15"/>
      <c r="Q196" s="15"/>
      <c r="R196" s="12"/>
    </row>
    <row r="197" spans="1:18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4"/>
      <c r="L197" s="12"/>
      <c r="M197" s="15"/>
      <c r="N197" s="14"/>
      <c r="O197" s="12"/>
      <c r="P197" s="15"/>
      <c r="Q197" s="15"/>
      <c r="R197" s="12"/>
    </row>
    <row r="198" spans="1:18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4"/>
      <c r="L198" s="12"/>
      <c r="M198" s="15"/>
      <c r="N198" s="14"/>
      <c r="O198" s="12"/>
      <c r="P198" s="15"/>
      <c r="Q198" s="15"/>
      <c r="R198" s="12"/>
    </row>
    <row r="199" spans="1:18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4"/>
      <c r="L199" s="12"/>
      <c r="M199" s="15"/>
      <c r="N199" s="14"/>
      <c r="O199" s="12"/>
      <c r="P199" s="15"/>
      <c r="Q199" s="15"/>
      <c r="R199" s="12"/>
    </row>
    <row r="200" spans="1:18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4"/>
      <c r="L200" s="12"/>
      <c r="M200" s="15"/>
      <c r="N200" s="14"/>
      <c r="O200" s="12"/>
      <c r="P200" s="15"/>
      <c r="Q200" s="15"/>
      <c r="R200" s="12"/>
    </row>
    <row r="201" spans="1:18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4"/>
      <c r="L201" s="12"/>
      <c r="M201" s="15"/>
      <c r="N201" s="14"/>
      <c r="O201" s="12"/>
      <c r="P201" s="15"/>
      <c r="Q201" s="15"/>
      <c r="R201" s="12"/>
    </row>
    <row r="202" spans="1:18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4"/>
      <c r="L202" s="12"/>
      <c r="M202" s="15"/>
      <c r="N202" s="14"/>
      <c r="O202" s="12"/>
      <c r="P202" s="15"/>
      <c r="Q202" s="15"/>
      <c r="R202" s="12"/>
    </row>
    <row r="203" spans="1:18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4"/>
      <c r="L203" s="12"/>
      <c r="M203" s="15"/>
      <c r="N203" s="14"/>
      <c r="O203" s="12"/>
      <c r="P203" s="15"/>
      <c r="Q203" s="15"/>
      <c r="R203" s="12"/>
    </row>
    <row r="204" spans="1:18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4"/>
      <c r="L204" s="12"/>
      <c r="M204" s="15"/>
      <c r="N204" s="14"/>
      <c r="O204" s="12"/>
      <c r="P204" s="15"/>
      <c r="Q204" s="15"/>
      <c r="R204" s="12"/>
    </row>
    <row r="205" spans="1:18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4"/>
      <c r="L205" s="12"/>
      <c r="M205" s="15"/>
      <c r="N205" s="14"/>
      <c r="O205" s="12"/>
      <c r="P205" s="15"/>
      <c r="Q205" s="15"/>
      <c r="R205" s="12"/>
    </row>
    <row r="206" spans="1:18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4"/>
      <c r="L206" s="12"/>
      <c r="M206" s="15"/>
      <c r="N206" s="14"/>
      <c r="O206" s="12"/>
      <c r="P206" s="15"/>
      <c r="Q206" s="15"/>
      <c r="R206" s="12"/>
    </row>
    <row r="207" spans="1:18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4"/>
      <c r="L207" s="12"/>
      <c r="M207" s="15"/>
      <c r="N207" s="14"/>
      <c r="O207" s="12"/>
      <c r="P207" s="15"/>
      <c r="Q207" s="15"/>
      <c r="R207" s="12"/>
    </row>
    <row r="208" spans="1:18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4"/>
      <c r="L208" s="12"/>
      <c r="M208" s="15"/>
      <c r="N208" s="14"/>
      <c r="O208" s="12"/>
      <c r="P208" s="15"/>
      <c r="Q208" s="15"/>
      <c r="R208" s="12"/>
    </row>
    <row r="209" spans="1:18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4"/>
      <c r="L209" s="12"/>
      <c r="M209" s="15"/>
      <c r="N209" s="14"/>
      <c r="O209" s="12"/>
      <c r="P209" s="15"/>
      <c r="Q209" s="15"/>
      <c r="R209" s="12"/>
    </row>
    <row r="210" spans="1:18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4"/>
      <c r="L210" s="12"/>
      <c r="M210" s="15"/>
      <c r="N210" s="14"/>
      <c r="O210" s="12"/>
      <c r="P210" s="15"/>
      <c r="Q210" s="15"/>
      <c r="R210" s="12"/>
    </row>
    <row r="211" spans="1:18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4"/>
      <c r="L211" s="12"/>
      <c r="M211" s="15"/>
      <c r="N211" s="14"/>
      <c r="O211" s="12"/>
      <c r="P211" s="15"/>
      <c r="Q211" s="15"/>
      <c r="R211" s="12"/>
    </row>
    <row r="212" spans="1:18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4"/>
      <c r="L212" s="12"/>
      <c r="M212" s="15"/>
      <c r="N212" s="14"/>
      <c r="O212" s="12"/>
      <c r="P212" s="15"/>
      <c r="Q212" s="15"/>
      <c r="R212" s="12"/>
    </row>
    <row r="213" spans="1:18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4"/>
      <c r="L213" s="12"/>
      <c r="M213" s="15"/>
      <c r="N213" s="14"/>
      <c r="O213" s="12"/>
      <c r="P213" s="15"/>
      <c r="Q213" s="15"/>
      <c r="R213" s="12"/>
    </row>
    <row r="214" spans="1:18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4"/>
      <c r="L214" s="12"/>
      <c r="M214" s="15"/>
      <c r="N214" s="14"/>
      <c r="O214" s="12"/>
      <c r="P214" s="15"/>
      <c r="Q214" s="15"/>
      <c r="R214" s="12"/>
    </row>
    <row r="215" spans="1:18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4"/>
      <c r="L215" s="12"/>
      <c r="M215" s="15"/>
      <c r="N215" s="14"/>
      <c r="O215" s="12"/>
      <c r="P215" s="15"/>
      <c r="Q215" s="15"/>
      <c r="R215" s="12"/>
    </row>
    <row r="216" spans="1:18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4"/>
      <c r="L216" s="12"/>
      <c r="M216" s="15"/>
      <c r="N216" s="14"/>
      <c r="O216" s="12"/>
      <c r="P216" s="15"/>
      <c r="Q216" s="15"/>
      <c r="R216" s="12"/>
    </row>
    <row r="217" spans="1:18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4"/>
      <c r="L217" s="12"/>
      <c r="M217" s="15"/>
      <c r="N217" s="14"/>
      <c r="O217" s="12"/>
      <c r="P217" s="15"/>
      <c r="Q217" s="15"/>
      <c r="R217" s="12"/>
    </row>
    <row r="218" spans="1:18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4"/>
      <c r="L218" s="12"/>
      <c r="M218" s="15"/>
      <c r="N218" s="14"/>
      <c r="O218" s="12"/>
      <c r="P218" s="15"/>
      <c r="Q218" s="15"/>
      <c r="R218" s="12"/>
    </row>
    <row r="219" spans="1:18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4"/>
      <c r="L219" s="12"/>
      <c r="M219" s="15"/>
      <c r="N219" s="14"/>
      <c r="O219" s="12"/>
      <c r="P219" s="15"/>
      <c r="Q219" s="15"/>
      <c r="R219" s="12"/>
    </row>
    <row r="220" spans="1:18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4"/>
      <c r="L220" s="12"/>
      <c r="M220" s="15"/>
      <c r="N220" s="14"/>
      <c r="O220" s="12"/>
      <c r="P220" s="15"/>
      <c r="Q220" s="15"/>
      <c r="R220" s="12"/>
    </row>
    <row r="221" spans="1:18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4"/>
      <c r="L221" s="12"/>
      <c r="M221" s="15"/>
      <c r="N221" s="14"/>
      <c r="O221" s="12"/>
      <c r="P221" s="15"/>
      <c r="Q221" s="15"/>
      <c r="R221" s="12"/>
    </row>
    <row r="222" spans="1:18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4"/>
      <c r="L222" s="12"/>
      <c r="M222" s="15"/>
      <c r="N222" s="14"/>
      <c r="O222" s="12"/>
      <c r="P222" s="15"/>
      <c r="Q222" s="15"/>
      <c r="R222" s="12"/>
    </row>
    <row r="223" spans="1:18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4"/>
      <c r="L223" s="12"/>
      <c r="M223" s="15"/>
      <c r="N223" s="14"/>
      <c r="O223" s="12"/>
      <c r="P223" s="15"/>
      <c r="Q223" s="15"/>
      <c r="R223" s="12"/>
    </row>
    <row r="224" spans="1:18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4"/>
      <c r="L224" s="12"/>
      <c r="M224" s="15"/>
      <c r="N224" s="14"/>
      <c r="O224" s="12"/>
      <c r="P224" s="15"/>
      <c r="Q224" s="15"/>
      <c r="R224" s="12"/>
    </row>
    <row r="225" spans="1:18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4"/>
      <c r="L225" s="12"/>
      <c r="M225" s="15"/>
      <c r="N225" s="14"/>
      <c r="O225" s="12"/>
      <c r="P225" s="15"/>
      <c r="Q225" s="15"/>
      <c r="R225" s="12"/>
    </row>
    <row r="226" spans="1:18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4"/>
      <c r="L226" s="12"/>
      <c r="M226" s="15"/>
      <c r="N226" s="14"/>
      <c r="O226" s="12"/>
      <c r="P226" s="15"/>
      <c r="Q226" s="15"/>
      <c r="R226" s="12"/>
    </row>
    <row r="227" spans="1:18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4"/>
      <c r="L227" s="12"/>
      <c r="M227" s="15"/>
      <c r="N227" s="14"/>
      <c r="O227" s="12"/>
      <c r="P227" s="15"/>
      <c r="Q227" s="15"/>
      <c r="R227" s="12"/>
    </row>
    <row r="228" spans="1:18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4"/>
      <c r="L228" s="12"/>
      <c r="M228" s="15"/>
      <c r="N228" s="14"/>
      <c r="O228" s="12"/>
      <c r="P228" s="15"/>
      <c r="Q228" s="15"/>
      <c r="R228" s="12"/>
    </row>
    <row r="229" spans="1:18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4"/>
      <c r="L229" s="12"/>
      <c r="M229" s="15"/>
      <c r="N229" s="14"/>
      <c r="O229" s="12"/>
      <c r="P229" s="15"/>
      <c r="Q229" s="15"/>
      <c r="R229" s="12"/>
    </row>
    <row r="230" spans="1:18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4"/>
      <c r="L230" s="12"/>
      <c r="M230" s="15"/>
      <c r="N230" s="14"/>
      <c r="O230" s="12"/>
      <c r="P230" s="15"/>
      <c r="Q230" s="15"/>
      <c r="R230" s="12"/>
    </row>
    <row r="231" spans="1:18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4"/>
      <c r="L231" s="12"/>
      <c r="M231" s="15"/>
      <c r="N231" s="14"/>
      <c r="O231" s="12"/>
      <c r="P231" s="15"/>
      <c r="Q231" s="15"/>
      <c r="R231" s="12"/>
    </row>
    <row r="232" spans="1:18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4"/>
      <c r="L232" s="12"/>
      <c r="M232" s="15"/>
      <c r="N232" s="14"/>
      <c r="O232" s="12"/>
      <c r="P232" s="15"/>
      <c r="Q232" s="15"/>
      <c r="R232" s="12"/>
    </row>
    <row r="233" spans="1:18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4"/>
      <c r="L233" s="12"/>
      <c r="M233" s="15"/>
      <c r="N233" s="14"/>
      <c r="O233" s="12"/>
      <c r="P233" s="15"/>
      <c r="Q233" s="15"/>
      <c r="R233" s="12"/>
    </row>
    <row r="234" spans="1:18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4"/>
      <c r="L234" s="12"/>
      <c r="M234" s="15"/>
      <c r="N234" s="14"/>
      <c r="O234" s="12"/>
      <c r="P234" s="15"/>
      <c r="Q234" s="15"/>
      <c r="R234" s="12"/>
    </row>
    <row r="235" spans="1:18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4"/>
      <c r="L235" s="12"/>
      <c r="M235" s="15"/>
      <c r="N235" s="14"/>
      <c r="O235" s="12"/>
      <c r="P235" s="15"/>
      <c r="Q235" s="15"/>
      <c r="R235" s="12"/>
    </row>
    <row r="236" spans="1:18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4"/>
      <c r="L236" s="12"/>
      <c r="M236" s="15"/>
      <c r="N236" s="14"/>
      <c r="O236" s="12"/>
      <c r="P236" s="15"/>
      <c r="Q236" s="15"/>
      <c r="R236" s="12"/>
    </row>
    <row r="237" spans="1:18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4"/>
      <c r="L237" s="12"/>
      <c r="M237" s="15"/>
      <c r="N237" s="14"/>
      <c r="O237" s="12"/>
      <c r="P237" s="15"/>
      <c r="Q237" s="15"/>
      <c r="R237" s="12"/>
    </row>
    <row r="238" spans="1:18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4"/>
      <c r="L238" s="12"/>
      <c r="M238" s="15"/>
      <c r="N238" s="14"/>
      <c r="O238" s="12"/>
      <c r="P238" s="15"/>
      <c r="Q238" s="15"/>
      <c r="R238" s="12"/>
    </row>
    <row r="239" spans="1:18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4"/>
      <c r="L239" s="12"/>
      <c r="M239" s="15"/>
      <c r="N239" s="14"/>
      <c r="O239" s="12"/>
      <c r="P239" s="15"/>
      <c r="Q239" s="15"/>
      <c r="R239" s="12"/>
    </row>
    <row r="240" spans="1:18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4"/>
      <c r="L240" s="12"/>
      <c r="M240" s="15"/>
      <c r="N240" s="14"/>
      <c r="O240" s="12"/>
      <c r="P240" s="15"/>
      <c r="Q240" s="15"/>
      <c r="R240" s="12"/>
    </row>
    <row r="241" spans="1:18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4"/>
      <c r="L241" s="12"/>
      <c r="M241" s="15"/>
      <c r="N241" s="14"/>
      <c r="O241" s="12"/>
      <c r="P241" s="15"/>
      <c r="Q241" s="15"/>
      <c r="R241" s="12"/>
    </row>
    <row r="242" spans="1:18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4"/>
      <c r="L242" s="12"/>
      <c r="M242" s="15"/>
      <c r="N242" s="14"/>
      <c r="O242" s="12"/>
      <c r="P242" s="15"/>
      <c r="Q242" s="15"/>
      <c r="R242" s="12"/>
    </row>
    <row r="243" spans="1:18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4"/>
      <c r="L243" s="12"/>
      <c r="M243" s="15"/>
      <c r="N243" s="14"/>
      <c r="O243" s="12"/>
      <c r="P243" s="15"/>
      <c r="Q243" s="15"/>
      <c r="R243" s="12"/>
    </row>
    <row r="244" spans="1:18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4"/>
      <c r="L244" s="12"/>
      <c r="M244" s="15"/>
      <c r="N244" s="14"/>
      <c r="O244" s="12"/>
      <c r="P244" s="15"/>
      <c r="Q244" s="15"/>
      <c r="R244" s="12"/>
    </row>
    <row r="245" spans="1:18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4"/>
      <c r="L245" s="12"/>
      <c r="M245" s="15"/>
      <c r="N245" s="14"/>
      <c r="O245" s="12"/>
      <c r="P245" s="15"/>
      <c r="Q245" s="15"/>
      <c r="R245" s="12"/>
    </row>
    <row r="246" spans="1:18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4"/>
      <c r="L246" s="12"/>
      <c r="M246" s="15"/>
      <c r="N246" s="14"/>
      <c r="O246" s="12"/>
      <c r="P246" s="15"/>
      <c r="Q246" s="15"/>
      <c r="R246" s="12"/>
    </row>
    <row r="247" spans="1:18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4"/>
      <c r="L247" s="12"/>
      <c r="M247" s="15"/>
      <c r="N247" s="14"/>
      <c r="O247" s="12"/>
      <c r="P247" s="15"/>
      <c r="Q247" s="15"/>
      <c r="R247" s="12"/>
    </row>
    <row r="248" spans="1:18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4"/>
      <c r="L248" s="12"/>
      <c r="M248" s="15"/>
      <c r="N248" s="14"/>
      <c r="O248" s="12"/>
      <c r="P248" s="15"/>
      <c r="Q248" s="15"/>
      <c r="R248" s="12"/>
    </row>
    <row r="249" spans="1:18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4"/>
      <c r="L249" s="12"/>
      <c r="M249" s="15"/>
      <c r="N249" s="14"/>
      <c r="O249" s="12"/>
      <c r="P249" s="15"/>
      <c r="Q249" s="15"/>
      <c r="R249" s="12"/>
    </row>
    <row r="250" spans="1:18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4"/>
      <c r="L250" s="12"/>
      <c r="M250" s="15"/>
      <c r="N250" s="14"/>
      <c r="O250" s="12"/>
      <c r="P250" s="15"/>
      <c r="Q250" s="15"/>
      <c r="R250" s="12"/>
    </row>
    <row r="251" spans="1:18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4"/>
      <c r="L251" s="12"/>
      <c r="M251" s="15"/>
      <c r="N251" s="14"/>
      <c r="O251" s="12"/>
      <c r="P251" s="15"/>
      <c r="Q251" s="15"/>
      <c r="R251" s="12"/>
    </row>
    <row r="252" spans="1:18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4"/>
      <c r="L252" s="12"/>
      <c r="M252" s="15"/>
      <c r="N252" s="14"/>
      <c r="O252" s="12"/>
      <c r="P252" s="15"/>
      <c r="Q252" s="15"/>
      <c r="R252" s="12"/>
    </row>
    <row r="253" spans="1:18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4"/>
      <c r="L253" s="12"/>
      <c r="M253" s="15"/>
      <c r="N253" s="14"/>
      <c r="O253" s="12"/>
      <c r="P253" s="15"/>
      <c r="Q253" s="15"/>
      <c r="R253" s="12"/>
    </row>
    <row r="254" spans="1:18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4"/>
      <c r="L254" s="12"/>
      <c r="M254" s="15"/>
      <c r="N254" s="14"/>
      <c r="O254" s="12"/>
      <c r="P254" s="15"/>
      <c r="Q254" s="15"/>
      <c r="R254" s="12"/>
    </row>
    <row r="255" spans="1:18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4"/>
      <c r="L255" s="12"/>
      <c r="M255" s="15"/>
      <c r="N255" s="14"/>
      <c r="O255" s="12"/>
      <c r="P255" s="15"/>
      <c r="Q255" s="15"/>
      <c r="R255" s="12"/>
    </row>
    <row r="256" spans="1:18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4"/>
      <c r="L256" s="12"/>
      <c r="M256" s="15"/>
      <c r="N256" s="14"/>
      <c r="O256" s="12"/>
      <c r="P256" s="15"/>
      <c r="Q256" s="15"/>
      <c r="R256" s="12"/>
    </row>
    <row r="257" spans="1:18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4"/>
      <c r="L257" s="12"/>
      <c r="M257" s="15"/>
      <c r="N257" s="14"/>
      <c r="O257" s="12"/>
      <c r="P257" s="15"/>
      <c r="Q257" s="15"/>
      <c r="R257" s="12"/>
    </row>
    <row r="258" spans="1:18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4"/>
      <c r="L258" s="12"/>
      <c r="M258" s="15"/>
      <c r="N258" s="14"/>
      <c r="O258" s="12"/>
      <c r="P258" s="15"/>
      <c r="Q258" s="15"/>
      <c r="R258" s="12"/>
    </row>
    <row r="259" spans="1:18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4"/>
      <c r="L259" s="12"/>
      <c r="M259" s="15"/>
      <c r="N259" s="14"/>
      <c r="O259" s="12"/>
      <c r="P259" s="15"/>
      <c r="Q259" s="15"/>
      <c r="R259" s="12"/>
    </row>
    <row r="260" spans="1:18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4"/>
      <c r="L260" s="12"/>
      <c r="M260" s="15"/>
      <c r="N260" s="14"/>
      <c r="O260" s="12"/>
      <c r="P260" s="15"/>
      <c r="Q260" s="15"/>
      <c r="R260" s="12"/>
    </row>
    <row r="261" spans="1:18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4"/>
      <c r="L261" s="12"/>
      <c r="M261" s="15"/>
      <c r="N261" s="14"/>
      <c r="O261" s="12"/>
      <c r="P261" s="15"/>
      <c r="Q261" s="15"/>
      <c r="R261" s="12"/>
    </row>
    <row r="262" spans="1:18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4"/>
      <c r="L262" s="12"/>
      <c r="M262" s="15"/>
      <c r="N262" s="14"/>
      <c r="O262" s="12"/>
      <c r="P262" s="15"/>
      <c r="Q262" s="15"/>
      <c r="R262" s="12"/>
    </row>
    <row r="263" spans="1:18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4"/>
      <c r="L263" s="12"/>
      <c r="M263" s="15"/>
      <c r="N263" s="14"/>
      <c r="O263" s="12"/>
      <c r="P263" s="15"/>
      <c r="Q263" s="15"/>
      <c r="R263" s="12"/>
    </row>
    <row r="264" spans="1:18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4"/>
      <c r="L264" s="12"/>
      <c r="M264" s="15"/>
      <c r="N264" s="14"/>
      <c r="O264" s="12"/>
      <c r="P264" s="15"/>
      <c r="Q264" s="15"/>
      <c r="R264" s="12"/>
    </row>
    <row r="265" spans="1:18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4"/>
      <c r="L265" s="12"/>
      <c r="M265" s="15"/>
      <c r="N265" s="14"/>
      <c r="O265" s="12"/>
      <c r="P265" s="15"/>
      <c r="Q265" s="15"/>
      <c r="R265" s="12"/>
    </row>
    <row r="266" spans="1:18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4"/>
      <c r="L266" s="12"/>
      <c r="M266" s="15"/>
      <c r="N266" s="14"/>
      <c r="O266" s="12"/>
      <c r="P266" s="15"/>
      <c r="Q266" s="15"/>
      <c r="R266" s="12"/>
    </row>
    <row r="267" spans="1:18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4"/>
      <c r="L267" s="12"/>
      <c r="M267" s="15"/>
      <c r="N267" s="14"/>
      <c r="O267" s="12"/>
      <c r="P267" s="15"/>
      <c r="Q267" s="15"/>
      <c r="R267" s="12"/>
    </row>
    <row r="268" spans="1:18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4"/>
      <c r="L268" s="12"/>
      <c r="M268" s="15"/>
      <c r="N268" s="14"/>
      <c r="O268" s="12"/>
      <c r="P268" s="15"/>
      <c r="Q268" s="15"/>
      <c r="R268" s="12"/>
    </row>
    <row r="269" spans="1:18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4"/>
      <c r="L269" s="12"/>
      <c r="M269" s="15"/>
      <c r="N269" s="14"/>
      <c r="O269" s="12"/>
      <c r="P269" s="15"/>
      <c r="Q269" s="15"/>
      <c r="R269" s="12"/>
    </row>
    <row r="270" spans="1:18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4"/>
      <c r="L270" s="12"/>
      <c r="M270" s="15"/>
      <c r="N270" s="14"/>
      <c r="O270" s="12"/>
      <c r="P270" s="15"/>
      <c r="Q270" s="15"/>
      <c r="R270" s="12"/>
    </row>
    <row r="271" spans="1:18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4"/>
      <c r="L271" s="12"/>
      <c r="M271" s="15"/>
      <c r="N271" s="14"/>
      <c r="O271" s="12"/>
      <c r="P271" s="15"/>
      <c r="Q271" s="15"/>
      <c r="R271" s="12"/>
    </row>
    <row r="272" spans="1:18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4"/>
      <c r="L272" s="12"/>
      <c r="M272" s="15"/>
      <c r="N272" s="14"/>
      <c r="O272" s="12"/>
      <c r="P272" s="15"/>
      <c r="Q272" s="15"/>
      <c r="R272" s="12"/>
    </row>
    <row r="273" spans="1:18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4"/>
      <c r="L273" s="12"/>
      <c r="M273" s="15"/>
      <c r="N273" s="14"/>
      <c r="O273" s="12"/>
      <c r="P273" s="15"/>
      <c r="Q273" s="15"/>
      <c r="R273" s="12"/>
    </row>
    <row r="274" spans="1:18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4"/>
      <c r="L274" s="12"/>
      <c r="M274" s="15"/>
      <c r="N274" s="14"/>
      <c r="O274" s="12"/>
      <c r="P274" s="15"/>
      <c r="Q274" s="15"/>
      <c r="R274" s="12"/>
    </row>
    <row r="275" spans="1:18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4"/>
      <c r="L275" s="12"/>
      <c r="M275" s="15"/>
      <c r="N275" s="14"/>
      <c r="O275" s="12"/>
      <c r="P275" s="15"/>
      <c r="Q275" s="15"/>
      <c r="R275" s="12"/>
    </row>
    <row r="276" spans="1:18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4"/>
      <c r="L276" s="12"/>
      <c r="M276" s="15"/>
      <c r="N276" s="14"/>
      <c r="O276" s="12"/>
      <c r="P276" s="15"/>
      <c r="Q276" s="15"/>
      <c r="R276" s="12"/>
    </row>
    <row r="277" spans="1:18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4"/>
      <c r="L277" s="12"/>
      <c r="M277" s="15"/>
      <c r="N277" s="14"/>
      <c r="O277" s="12"/>
      <c r="P277" s="15"/>
      <c r="Q277" s="15"/>
      <c r="R277" s="12"/>
    </row>
    <row r="278" spans="1:18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4"/>
      <c r="L278" s="12"/>
      <c r="M278" s="15"/>
      <c r="N278" s="14"/>
      <c r="O278" s="12"/>
      <c r="P278" s="15"/>
      <c r="Q278" s="15"/>
      <c r="R278" s="12"/>
    </row>
    <row r="279" spans="1:18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4"/>
      <c r="L279" s="12"/>
      <c r="M279" s="15"/>
      <c r="N279" s="14"/>
      <c r="O279" s="12"/>
      <c r="P279" s="15"/>
      <c r="Q279" s="15"/>
      <c r="R279" s="12"/>
    </row>
    <row r="280" spans="1:18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4"/>
      <c r="L280" s="12"/>
      <c r="M280" s="15"/>
      <c r="N280" s="14"/>
      <c r="O280" s="12"/>
      <c r="P280" s="15"/>
      <c r="Q280" s="15"/>
      <c r="R280" s="12"/>
    </row>
    <row r="281" spans="1:18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4"/>
      <c r="L281" s="12"/>
      <c r="M281" s="15"/>
      <c r="N281" s="14"/>
      <c r="O281" s="12"/>
      <c r="P281" s="15"/>
      <c r="Q281" s="15"/>
      <c r="R281" s="12"/>
    </row>
    <row r="282" spans="1:18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4"/>
      <c r="L282" s="12"/>
      <c r="M282" s="15"/>
      <c r="N282" s="14"/>
      <c r="O282" s="12"/>
      <c r="P282" s="15"/>
      <c r="Q282" s="15"/>
      <c r="R282" s="12"/>
    </row>
    <row r="283" spans="1:18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4"/>
      <c r="L283" s="12"/>
      <c r="M283" s="15"/>
      <c r="N283" s="14"/>
      <c r="O283" s="12"/>
      <c r="P283" s="15"/>
      <c r="Q283" s="15"/>
      <c r="R283" s="12"/>
    </row>
    <row r="284" spans="1:18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4"/>
      <c r="L284" s="12"/>
      <c r="M284" s="15"/>
      <c r="N284" s="14"/>
      <c r="O284" s="12"/>
      <c r="P284" s="15"/>
      <c r="Q284" s="15"/>
      <c r="R284" s="12"/>
    </row>
    <row r="285" spans="1:18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4"/>
      <c r="L285" s="12"/>
      <c r="M285" s="15"/>
      <c r="N285" s="14"/>
      <c r="O285" s="12"/>
      <c r="P285" s="15"/>
      <c r="Q285" s="15"/>
      <c r="R285" s="12"/>
    </row>
    <row r="286" spans="1:18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4"/>
      <c r="L286" s="12"/>
      <c r="M286" s="15"/>
      <c r="N286" s="14"/>
      <c r="O286" s="12"/>
      <c r="P286" s="15"/>
      <c r="Q286" s="15"/>
      <c r="R286" s="12"/>
    </row>
    <row r="287" spans="1:18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4"/>
      <c r="L287" s="12"/>
      <c r="M287" s="15"/>
      <c r="N287" s="14"/>
      <c r="O287" s="12"/>
      <c r="P287" s="15"/>
      <c r="Q287" s="15"/>
      <c r="R287" s="12"/>
    </row>
    <row r="288" spans="1:18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4"/>
      <c r="L288" s="12"/>
      <c r="M288" s="15"/>
      <c r="N288" s="14"/>
      <c r="O288" s="12"/>
      <c r="P288" s="15"/>
      <c r="Q288" s="15"/>
      <c r="R288" s="12"/>
    </row>
    <row r="289" spans="1:18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4"/>
      <c r="L289" s="12"/>
      <c r="M289" s="15"/>
      <c r="N289" s="14"/>
      <c r="O289" s="12"/>
      <c r="P289" s="15"/>
      <c r="Q289" s="15"/>
      <c r="R289" s="12"/>
    </row>
    <row r="290" spans="1:18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4"/>
      <c r="L290" s="12"/>
      <c r="M290" s="15"/>
      <c r="N290" s="14"/>
      <c r="O290" s="12"/>
      <c r="P290" s="15"/>
      <c r="Q290" s="15"/>
      <c r="R290" s="12"/>
    </row>
    <row r="291" spans="1:18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4"/>
      <c r="L291" s="12"/>
      <c r="M291" s="15"/>
      <c r="N291" s="14"/>
      <c r="O291" s="12"/>
      <c r="P291" s="15"/>
      <c r="Q291" s="15"/>
      <c r="R291" s="12"/>
    </row>
    <row r="292" spans="1:18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4"/>
      <c r="L292" s="12"/>
      <c r="M292" s="15"/>
      <c r="N292" s="14"/>
      <c r="O292" s="12"/>
      <c r="P292" s="15"/>
      <c r="Q292" s="15"/>
      <c r="R292" s="12"/>
    </row>
    <row r="293" spans="1:18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4"/>
      <c r="L293" s="12"/>
      <c r="M293" s="15"/>
      <c r="N293" s="14"/>
      <c r="O293" s="12"/>
      <c r="P293" s="15"/>
      <c r="Q293" s="15"/>
      <c r="R293" s="12"/>
    </row>
    <row r="294" spans="1:18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4"/>
      <c r="L294" s="12"/>
      <c r="M294" s="15"/>
      <c r="N294" s="14"/>
      <c r="O294" s="12"/>
      <c r="P294" s="15"/>
      <c r="Q294" s="15"/>
      <c r="R294" s="12"/>
    </row>
    <row r="295" spans="1:18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4"/>
      <c r="L295" s="12"/>
      <c r="M295" s="15"/>
      <c r="N295" s="14"/>
      <c r="O295" s="12"/>
      <c r="P295" s="15"/>
      <c r="Q295" s="15"/>
      <c r="R295" s="12"/>
    </row>
    <row r="296" spans="1:18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4"/>
      <c r="L296" s="12"/>
      <c r="M296" s="15"/>
      <c r="N296" s="14"/>
      <c r="O296" s="12"/>
      <c r="P296" s="15"/>
      <c r="Q296" s="15"/>
      <c r="R296" s="12"/>
    </row>
    <row r="297" spans="1:18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4"/>
      <c r="L297" s="12"/>
      <c r="M297" s="15"/>
      <c r="N297" s="14"/>
      <c r="O297" s="12"/>
      <c r="P297" s="15"/>
      <c r="Q297" s="15"/>
      <c r="R297" s="12"/>
    </row>
    <row r="298" spans="1:18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4"/>
      <c r="L298" s="12"/>
      <c r="M298" s="15"/>
      <c r="N298" s="14"/>
      <c r="O298" s="12"/>
      <c r="P298" s="15"/>
      <c r="Q298" s="15"/>
      <c r="R298" s="12"/>
    </row>
    <row r="299" spans="1:18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4"/>
      <c r="L299" s="12"/>
      <c r="M299" s="15"/>
      <c r="N299" s="14"/>
      <c r="O299" s="12"/>
      <c r="P299" s="15"/>
      <c r="Q299" s="15"/>
      <c r="R299" s="12"/>
    </row>
    <row r="300" spans="1:18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4"/>
      <c r="L300" s="12"/>
      <c r="M300" s="15"/>
      <c r="N300" s="14"/>
      <c r="O300" s="12"/>
      <c r="P300" s="15"/>
      <c r="Q300" s="15"/>
      <c r="R300" s="12"/>
    </row>
    <row r="301" spans="1:18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4"/>
      <c r="L301" s="12"/>
      <c r="M301" s="15"/>
      <c r="N301" s="14"/>
      <c r="O301" s="12"/>
      <c r="P301" s="15"/>
      <c r="Q301" s="15"/>
      <c r="R301" s="12"/>
    </row>
    <row r="302" spans="1:18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4"/>
      <c r="L302" s="12"/>
      <c r="M302" s="15"/>
      <c r="N302" s="14"/>
      <c r="O302" s="12"/>
      <c r="P302" s="15"/>
      <c r="Q302" s="15"/>
      <c r="R302" s="12"/>
    </row>
    <row r="303" spans="1:18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4"/>
      <c r="L303" s="12"/>
      <c r="M303" s="15"/>
      <c r="N303" s="14"/>
      <c r="O303" s="12"/>
      <c r="P303" s="15"/>
      <c r="Q303" s="15"/>
      <c r="R303" s="12"/>
    </row>
    <row r="304" spans="1:18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4"/>
      <c r="L304" s="12"/>
      <c r="M304" s="15"/>
      <c r="N304" s="14"/>
      <c r="O304" s="12"/>
      <c r="P304" s="15"/>
      <c r="Q304" s="15"/>
      <c r="R304" s="12"/>
    </row>
    <row r="305" spans="1:18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4"/>
      <c r="L305" s="12"/>
      <c r="M305" s="15"/>
      <c r="N305" s="14"/>
      <c r="O305" s="12"/>
      <c r="P305" s="15"/>
      <c r="Q305" s="15"/>
      <c r="R305" s="12"/>
    </row>
    <row r="306" spans="1:18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4"/>
      <c r="L306" s="12"/>
      <c r="M306" s="15"/>
      <c r="N306" s="14"/>
      <c r="O306" s="12"/>
      <c r="P306" s="15"/>
      <c r="Q306" s="15"/>
      <c r="R306" s="12"/>
    </row>
    <row r="307" spans="1:18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4"/>
      <c r="L307" s="12"/>
      <c r="M307" s="15"/>
      <c r="N307" s="14"/>
      <c r="O307" s="12"/>
      <c r="P307" s="15"/>
      <c r="Q307" s="15"/>
      <c r="R307" s="12"/>
    </row>
    <row r="308" spans="1:18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4"/>
      <c r="L308" s="12"/>
      <c r="M308" s="15"/>
      <c r="N308" s="14"/>
      <c r="O308" s="12"/>
      <c r="P308" s="15"/>
      <c r="Q308" s="15"/>
      <c r="R308" s="12"/>
    </row>
    <row r="309" spans="1:18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4"/>
      <c r="L309" s="12"/>
      <c r="M309" s="15"/>
      <c r="N309" s="14"/>
      <c r="O309" s="12"/>
      <c r="P309" s="15"/>
      <c r="Q309" s="15"/>
      <c r="R309" s="12"/>
    </row>
    <row r="310" spans="1:18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4"/>
      <c r="L310" s="12"/>
      <c r="M310" s="15"/>
      <c r="N310" s="14"/>
      <c r="O310" s="12"/>
      <c r="P310" s="15"/>
      <c r="Q310" s="15"/>
      <c r="R310" s="12"/>
    </row>
    <row r="311" spans="1:18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4"/>
      <c r="L311" s="12"/>
      <c r="M311" s="15"/>
      <c r="N311" s="14"/>
      <c r="O311" s="12"/>
      <c r="P311" s="15"/>
      <c r="Q311" s="15"/>
      <c r="R311" s="12"/>
    </row>
    <row r="312" spans="1:18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4"/>
      <c r="L312" s="12"/>
      <c r="M312" s="15"/>
      <c r="N312" s="14"/>
      <c r="O312" s="12"/>
      <c r="P312" s="15"/>
      <c r="Q312" s="15"/>
      <c r="R312" s="12"/>
    </row>
    <row r="313" spans="1:18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4"/>
      <c r="L313" s="12"/>
      <c r="M313" s="15"/>
      <c r="N313" s="14"/>
      <c r="O313" s="12"/>
      <c r="P313" s="15"/>
      <c r="Q313" s="15"/>
      <c r="R313" s="12"/>
    </row>
    <row r="314" spans="1:18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4"/>
      <c r="L314" s="12"/>
      <c r="M314" s="15"/>
      <c r="N314" s="14"/>
      <c r="O314" s="12"/>
      <c r="P314" s="15"/>
      <c r="Q314" s="15"/>
      <c r="R314" s="12"/>
    </row>
    <row r="315" spans="1:18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4"/>
      <c r="L315" s="12"/>
      <c r="M315" s="15"/>
      <c r="N315" s="14"/>
      <c r="O315" s="12"/>
      <c r="P315" s="15"/>
      <c r="Q315" s="15"/>
      <c r="R315" s="12"/>
    </row>
    <row r="316" spans="1:18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4"/>
      <c r="L316" s="12"/>
      <c r="M316" s="15"/>
      <c r="N316" s="14"/>
      <c r="O316" s="12"/>
      <c r="P316" s="15"/>
      <c r="Q316" s="15"/>
      <c r="R316" s="12"/>
    </row>
    <row r="317" spans="1:18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4"/>
      <c r="L317" s="12"/>
      <c r="M317" s="15"/>
      <c r="N317" s="14"/>
      <c r="O317" s="12"/>
      <c r="P317" s="15"/>
      <c r="Q317" s="15"/>
      <c r="R317" s="12"/>
    </row>
    <row r="318" spans="1:18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4"/>
      <c r="L318" s="12"/>
      <c r="M318" s="15"/>
      <c r="N318" s="14"/>
      <c r="O318" s="12"/>
      <c r="P318" s="15"/>
      <c r="Q318" s="15"/>
      <c r="R318" s="12"/>
    </row>
    <row r="319" spans="1:18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4"/>
      <c r="L319" s="12"/>
      <c r="M319" s="15"/>
      <c r="N319" s="14"/>
      <c r="O319" s="12"/>
      <c r="P319" s="15"/>
      <c r="Q319" s="15"/>
      <c r="R319" s="12"/>
    </row>
    <row r="320" spans="1:18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4"/>
      <c r="L320" s="12"/>
      <c r="M320" s="15"/>
      <c r="N320" s="14"/>
      <c r="O320" s="12"/>
      <c r="P320" s="15"/>
      <c r="Q320" s="15"/>
      <c r="R320" s="12"/>
    </row>
    <row r="321" spans="1:18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4"/>
      <c r="L321" s="12"/>
      <c r="M321" s="15"/>
      <c r="N321" s="14"/>
      <c r="O321" s="12"/>
      <c r="P321" s="15"/>
      <c r="Q321" s="15"/>
      <c r="R321" s="12"/>
    </row>
    <row r="322" spans="1:18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4"/>
      <c r="L322" s="12"/>
      <c r="M322" s="15"/>
      <c r="N322" s="14"/>
      <c r="O322" s="12"/>
      <c r="P322" s="15"/>
      <c r="Q322" s="15"/>
      <c r="R322" s="12"/>
    </row>
    <row r="323" spans="1:18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4"/>
      <c r="L323" s="12"/>
      <c r="M323" s="15"/>
      <c r="N323" s="14"/>
      <c r="O323" s="12"/>
      <c r="P323" s="15"/>
      <c r="Q323" s="15"/>
      <c r="R323" s="12"/>
    </row>
    <row r="324" spans="1:18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4"/>
      <c r="L324" s="12"/>
      <c r="M324" s="15"/>
      <c r="N324" s="14"/>
      <c r="O324" s="12"/>
      <c r="P324" s="15"/>
      <c r="Q324" s="15"/>
      <c r="R324" s="12"/>
    </row>
    <row r="325" spans="1:18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4"/>
      <c r="L325" s="12"/>
      <c r="M325" s="15"/>
      <c r="N325" s="14"/>
      <c r="O325" s="12"/>
      <c r="P325" s="15"/>
      <c r="Q325" s="15"/>
      <c r="R325" s="12"/>
    </row>
    <row r="326" spans="1:18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4"/>
      <c r="L326" s="12"/>
      <c r="M326" s="15"/>
      <c r="N326" s="14"/>
      <c r="O326" s="12"/>
      <c r="P326" s="15"/>
      <c r="Q326" s="15"/>
      <c r="R326" s="12"/>
    </row>
    <row r="327" spans="1:18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4"/>
      <c r="L327" s="12"/>
      <c r="M327" s="15"/>
      <c r="N327" s="14"/>
      <c r="O327" s="12"/>
      <c r="P327" s="15"/>
      <c r="Q327" s="15"/>
      <c r="R327" s="12"/>
    </row>
    <row r="328" spans="1:18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4"/>
      <c r="L328" s="12"/>
      <c r="M328" s="15"/>
      <c r="N328" s="14"/>
      <c r="O328" s="12"/>
      <c r="P328" s="15"/>
      <c r="Q328" s="15"/>
      <c r="R328" s="12"/>
    </row>
    <row r="329" spans="1:18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4"/>
      <c r="L329" s="12"/>
      <c r="M329" s="15"/>
      <c r="N329" s="14"/>
      <c r="O329" s="12"/>
      <c r="P329" s="15"/>
      <c r="Q329" s="15"/>
      <c r="R329" s="12"/>
    </row>
    <row r="330" spans="1:18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4"/>
      <c r="L330" s="12"/>
      <c r="M330" s="15"/>
      <c r="N330" s="14"/>
      <c r="O330" s="12"/>
      <c r="P330" s="15"/>
      <c r="Q330" s="15"/>
      <c r="R330" s="12"/>
    </row>
    <row r="331" spans="1:18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4"/>
      <c r="L331" s="12"/>
      <c r="M331" s="15"/>
      <c r="N331" s="14"/>
      <c r="O331" s="12"/>
      <c r="P331" s="15"/>
      <c r="Q331" s="15"/>
      <c r="R331" s="12"/>
    </row>
    <row r="332" spans="1:18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4"/>
      <c r="L332" s="12"/>
      <c r="M332" s="15"/>
      <c r="N332" s="14"/>
      <c r="O332" s="12"/>
      <c r="P332" s="15"/>
      <c r="Q332" s="15"/>
      <c r="R332" s="12"/>
    </row>
    <row r="333" spans="1:18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4"/>
      <c r="L333" s="12"/>
      <c r="M333" s="15"/>
      <c r="N333" s="14"/>
      <c r="O333" s="12"/>
      <c r="P333" s="15"/>
      <c r="Q333" s="15"/>
      <c r="R333" s="12"/>
    </row>
    <row r="334" spans="1:18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4"/>
      <c r="L334" s="12"/>
      <c r="M334" s="15"/>
      <c r="N334" s="14"/>
      <c r="O334" s="12"/>
      <c r="P334" s="15"/>
      <c r="Q334" s="15"/>
      <c r="R334" s="12"/>
    </row>
    <row r="335" spans="1:18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4"/>
      <c r="L335" s="12"/>
      <c r="M335" s="15"/>
      <c r="N335" s="14"/>
      <c r="O335" s="12"/>
      <c r="P335" s="15"/>
      <c r="Q335" s="15"/>
      <c r="R335" s="12"/>
    </row>
    <row r="336" spans="1:18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4"/>
      <c r="L336" s="12"/>
      <c r="M336" s="15"/>
      <c r="N336" s="14"/>
      <c r="O336" s="12"/>
      <c r="P336" s="15"/>
      <c r="Q336" s="15"/>
      <c r="R336" s="12"/>
    </row>
    <row r="337" spans="1:18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4"/>
      <c r="L337" s="12"/>
      <c r="M337" s="15"/>
      <c r="N337" s="14"/>
      <c r="O337" s="12"/>
      <c r="P337" s="15"/>
      <c r="Q337" s="15"/>
      <c r="R337" s="12"/>
    </row>
    <row r="338" spans="1:18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4"/>
      <c r="L338" s="12"/>
      <c r="M338" s="15"/>
      <c r="N338" s="14"/>
      <c r="O338" s="12"/>
      <c r="P338" s="15"/>
      <c r="Q338" s="15"/>
      <c r="R338" s="12"/>
    </row>
    <row r="339" spans="1:18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4"/>
      <c r="L339" s="12"/>
      <c r="M339" s="15"/>
      <c r="N339" s="14"/>
      <c r="O339" s="12"/>
      <c r="P339" s="15"/>
      <c r="Q339" s="15"/>
      <c r="R339" s="12"/>
    </row>
    <row r="340" spans="1:18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4"/>
      <c r="L340" s="12"/>
      <c r="M340" s="15"/>
      <c r="N340" s="14"/>
      <c r="O340" s="12"/>
      <c r="P340" s="15"/>
      <c r="Q340" s="15"/>
      <c r="R340" s="12"/>
    </row>
    <row r="341" spans="1:18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4"/>
      <c r="L341" s="12"/>
      <c r="M341" s="15"/>
      <c r="N341" s="14"/>
      <c r="O341" s="12"/>
      <c r="P341" s="15"/>
      <c r="Q341" s="15"/>
      <c r="R341" s="12"/>
    </row>
    <row r="342" spans="1:18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4"/>
      <c r="L342" s="12"/>
      <c r="M342" s="15"/>
      <c r="N342" s="14"/>
      <c r="O342" s="12"/>
      <c r="P342" s="15"/>
      <c r="Q342" s="15"/>
      <c r="R342" s="12"/>
    </row>
    <row r="343" spans="1:18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4"/>
      <c r="L343" s="12"/>
      <c r="M343" s="15"/>
      <c r="N343" s="14"/>
      <c r="O343" s="12"/>
      <c r="P343" s="15"/>
      <c r="Q343" s="15"/>
      <c r="R343" s="12"/>
    </row>
    <row r="344" spans="1:18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4"/>
      <c r="L344" s="12"/>
      <c r="M344" s="15"/>
      <c r="N344" s="14"/>
      <c r="O344" s="12"/>
      <c r="P344" s="15"/>
      <c r="Q344" s="15"/>
      <c r="R344" s="12"/>
    </row>
    <row r="345" spans="1:18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4"/>
      <c r="L345" s="12"/>
      <c r="M345" s="15"/>
      <c r="N345" s="14"/>
      <c r="O345" s="12"/>
      <c r="P345" s="15"/>
      <c r="Q345" s="15"/>
      <c r="R345" s="12"/>
    </row>
    <row r="346" spans="1:18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4"/>
      <c r="L346" s="12"/>
      <c r="M346" s="15"/>
      <c r="N346" s="14"/>
      <c r="O346" s="12"/>
      <c r="P346" s="15"/>
      <c r="Q346" s="15"/>
      <c r="R346" s="12"/>
    </row>
    <row r="347" spans="1:18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4"/>
      <c r="L347" s="12"/>
      <c r="M347" s="15"/>
      <c r="N347" s="14"/>
      <c r="O347" s="12"/>
      <c r="P347" s="15"/>
      <c r="Q347" s="15"/>
      <c r="R347" s="12"/>
    </row>
    <row r="348" spans="1:18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4"/>
      <c r="L348" s="12"/>
      <c r="M348" s="15"/>
      <c r="N348" s="14"/>
      <c r="O348" s="12"/>
      <c r="P348" s="15"/>
      <c r="Q348" s="15"/>
      <c r="R348" s="12"/>
    </row>
    <row r="349" spans="1:18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4"/>
      <c r="L349" s="12"/>
      <c r="M349" s="15"/>
      <c r="N349" s="14"/>
      <c r="O349" s="12"/>
      <c r="P349" s="15"/>
      <c r="Q349" s="15"/>
      <c r="R349" s="12"/>
    </row>
    <row r="350" spans="1:18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4"/>
      <c r="L350" s="12"/>
      <c r="M350" s="15"/>
      <c r="N350" s="14"/>
      <c r="O350" s="12"/>
      <c r="P350" s="15"/>
      <c r="Q350" s="15"/>
      <c r="R350" s="12"/>
    </row>
    <row r="351" spans="1:18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4"/>
      <c r="L351" s="12"/>
      <c r="M351" s="15"/>
      <c r="N351" s="14"/>
      <c r="O351" s="12"/>
      <c r="P351" s="15"/>
      <c r="Q351" s="15"/>
      <c r="R351" s="12"/>
    </row>
    <row r="352" spans="1:18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4"/>
      <c r="L352" s="12"/>
      <c r="M352" s="15"/>
      <c r="N352" s="14"/>
      <c r="O352" s="12"/>
      <c r="P352" s="15"/>
      <c r="Q352" s="15"/>
      <c r="R352" s="12"/>
    </row>
    <row r="353" spans="1:18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4"/>
      <c r="L353" s="12"/>
      <c r="M353" s="15"/>
      <c r="N353" s="14"/>
      <c r="O353" s="12"/>
      <c r="P353" s="15"/>
      <c r="Q353" s="15"/>
      <c r="R353" s="12"/>
    </row>
    <row r="354" spans="1:18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4"/>
      <c r="L354" s="12"/>
      <c r="M354" s="15"/>
      <c r="N354" s="14"/>
      <c r="O354" s="12"/>
      <c r="P354" s="15"/>
      <c r="Q354" s="15"/>
      <c r="R354" s="12"/>
    </row>
    <row r="355" spans="1:18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4"/>
      <c r="L355" s="12"/>
      <c r="M355" s="15"/>
      <c r="N355" s="14"/>
      <c r="O355" s="12"/>
      <c r="P355" s="15"/>
      <c r="Q355" s="15"/>
      <c r="R355" s="12"/>
    </row>
    <row r="356" spans="1:18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4"/>
      <c r="L356" s="12"/>
      <c r="M356" s="15"/>
      <c r="N356" s="14"/>
      <c r="O356" s="12"/>
      <c r="P356" s="15"/>
      <c r="Q356" s="15"/>
      <c r="R356" s="12"/>
    </row>
    <row r="357" spans="1:18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4"/>
      <c r="L357" s="12"/>
      <c r="M357" s="15"/>
      <c r="N357" s="14"/>
      <c r="O357" s="12"/>
      <c r="P357" s="15"/>
      <c r="Q357" s="15"/>
      <c r="R357" s="12"/>
    </row>
    <row r="358" spans="1:18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4"/>
      <c r="L358" s="12"/>
      <c r="M358" s="15"/>
      <c r="N358" s="14"/>
      <c r="O358" s="12"/>
      <c r="P358" s="15"/>
      <c r="Q358" s="15"/>
      <c r="R358" s="12"/>
    </row>
    <row r="359" spans="1:18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4"/>
      <c r="L359" s="12"/>
      <c r="M359" s="15"/>
      <c r="N359" s="14"/>
      <c r="O359" s="12"/>
      <c r="P359" s="15"/>
      <c r="Q359" s="15"/>
      <c r="R359" s="12"/>
    </row>
    <row r="360" spans="1:18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4"/>
      <c r="L360" s="12"/>
      <c r="M360" s="15"/>
      <c r="N360" s="14"/>
      <c r="O360" s="12"/>
      <c r="P360" s="15"/>
      <c r="Q360" s="15"/>
      <c r="R360" s="12"/>
    </row>
    <row r="361" spans="1:18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4"/>
      <c r="L361" s="12"/>
      <c r="M361" s="15"/>
      <c r="N361" s="14"/>
      <c r="O361" s="12"/>
      <c r="P361" s="15"/>
      <c r="Q361" s="15"/>
      <c r="R361" s="12"/>
    </row>
    <row r="362" spans="1:18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4"/>
      <c r="L362" s="12"/>
      <c r="M362" s="15"/>
      <c r="N362" s="14"/>
      <c r="O362" s="12"/>
      <c r="P362" s="15"/>
      <c r="Q362" s="15"/>
      <c r="R362" s="12"/>
    </row>
    <row r="363" spans="1:18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4"/>
      <c r="L363" s="12"/>
      <c r="M363" s="15"/>
      <c r="N363" s="14"/>
      <c r="O363" s="12"/>
      <c r="P363" s="15"/>
      <c r="Q363" s="15"/>
      <c r="R363" s="12"/>
    </row>
    <row r="364" spans="1:18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4"/>
      <c r="L364" s="12"/>
      <c r="M364" s="15"/>
      <c r="N364" s="14"/>
      <c r="O364" s="12"/>
      <c r="P364" s="15"/>
      <c r="Q364" s="15"/>
      <c r="R364" s="12"/>
    </row>
    <row r="365" spans="1:18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4"/>
      <c r="L365" s="12"/>
      <c r="M365" s="15"/>
      <c r="N365" s="14"/>
      <c r="O365" s="12"/>
      <c r="P365" s="15"/>
      <c r="Q365" s="15"/>
      <c r="R365" s="12"/>
    </row>
    <row r="366" spans="1:18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4"/>
      <c r="L366" s="12"/>
      <c r="M366" s="15"/>
      <c r="N366" s="14"/>
      <c r="O366" s="12"/>
      <c r="P366" s="15"/>
      <c r="Q366" s="15"/>
      <c r="R366" s="12"/>
    </row>
    <row r="367" spans="1:18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4"/>
      <c r="L367" s="12"/>
      <c r="M367" s="15"/>
      <c r="N367" s="14"/>
      <c r="O367" s="12"/>
      <c r="P367" s="15"/>
      <c r="Q367" s="15"/>
      <c r="R367" s="12"/>
    </row>
    <row r="368" spans="1:18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4"/>
      <c r="L368" s="12"/>
      <c r="M368" s="15"/>
      <c r="N368" s="14"/>
      <c r="O368" s="12"/>
      <c r="P368" s="15"/>
      <c r="Q368" s="15"/>
      <c r="R368" s="12"/>
    </row>
    <row r="369" spans="1:18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4"/>
      <c r="L369" s="12"/>
      <c r="M369" s="15"/>
      <c r="N369" s="14"/>
      <c r="O369" s="12"/>
      <c r="P369" s="15"/>
      <c r="Q369" s="15"/>
      <c r="R369" s="12"/>
    </row>
    <row r="370" spans="1:18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4"/>
      <c r="L370" s="12"/>
      <c r="M370" s="15"/>
      <c r="N370" s="14"/>
      <c r="O370" s="12"/>
      <c r="P370" s="15"/>
      <c r="Q370" s="15"/>
      <c r="R370" s="12"/>
    </row>
    <row r="371" spans="1:18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4"/>
      <c r="L371" s="12"/>
      <c r="M371" s="15"/>
      <c r="N371" s="14"/>
      <c r="O371" s="12"/>
      <c r="P371" s="15"/>
      <c r="Q371" s="15"/>
      <c r="R371" s="12"/>
    </row>
    <row r="372" spans="1:18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4"/>
      <c r="L372" s="12"/>
      <c r="M372" s="15"/>
      <c r="N372" s="14"/>
      <c r="O372" s="12"/>
      <c r="P372" s="15"/>
      <c r="Q372" s="15"/>
      <c r="R372" s="12"/>
    </row>
    <row r="373" spans="1:18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4"/>
      <c r="L373" s="12"/>
      <c r="M373" s="15"/>
      <c r="N373" s="14"/>
      <c r="O373" s="12"/>
      <c r="P373" s="15"/>
      <c r="Q373" s="15"/>
      <c r="R373" s="12"/>
    </row>
    <row r="374" spans="1:18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4"/>
      <c r="L374" s="12"/>
      <c r="M374" s="15"/>
      <c r="N374" s="14"/>
      <c r="O374" s="12"/>
      <c r="P374" s="15"/>
      <c r="Q374" s="15"/>
      <c r="R374" s="12"/>
    </row>
    <row r="375" spans="1:18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4"/>
      <c r="L375" s="12"/>
      <c r="M375" s="15"/>
      <c r="N375" s="14"/>
      <c r="O375" s="12"/>
      <c r="P375" s="15"/>
      <c r="Q375" s="15"/>
      <c r="R375" s="12"/>
    </row>
    <row r="376" spans="1:18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4"/>
      <c r="L376" s="12"/>
      <c r="M376" s="15"/>
      <c r="N376" s="14"/>
      <c r="O376" s="12"/>
      <c r="P376" s="15"/>
      <c r="Q376" s="15"/>
      <c r="R376" s="12"/>
    </row>
    <row r="377" spans="1:18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4"/>
      <c r="L377" s="12"/>
      <c r="M377" s="15"/>
      <c r="N377" s="14"/>
      <c r="O377" s="12"/>
      <c r="P377" s="15"/>
      <c r="Q377" s="15"/>
      <c r="R377" s="12"/>
    </row>
    <row r="378" spans="1:18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4"/>
      <c r="L378" s="12"/>
      <c r="M378" s="15"/>
      <c r="N378" s="14"/>
      <c r="O378" s="12"/>
      <c r="P378" s="15"/>
      <c r="Q378" s="15"/>
      <c r="R378" s="12"/>
    </row>
    <row r="379" spans="1:18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4"/>
      <c r="L379" s="12"/>
      <c r="M379" s="15"/>
      <c r="N379" s="14"/>
      <c r="O379" s="12"/>
      <c r="P379" s="15"/>
      <c r="Q379" s="15"/>
      <c r="R379" s="12"/>
    </row>
    <row r="380" spans="1:18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4"/>
      <c r="L380" s="12"/>
      <c r="M380" s="15"/>
      <c r="N380" s="14"/>
      <c r="O380" s="12"/>
      <c r="P380" s="15"/>
      <c r="Q380" s="15"/>
      <c r="R380" s="12"/>
    </row>
    <row r="381" spans="1:18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4"/>
      <c r="L381" s="12"/>
      <c r="M381" s="15"/>
      <c r="N381" s="14"/>
      <c r="O381" s="12"/>
      <c r="P381" s="15"/>
      <c r="Q381" s="15"/>
      <c r="R381" s="12"/>
    </row>
    <row r="382" spans="1:18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4"/>
      <c r="L382" s="12"/>
      <c r="M382" s="15"/>
      <c r="N382" s="14"/>
      <c r="O382" s="12"/>
      <c r="P382" s="15"/>
      <c r="Q382" s="15"/>
      <c r="R382" s="12"/>
    </row>
    <row r="383" spans="1:18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4"/>
      <c r="L383" s="12"/>
      <c r="M383" s="15"/>
      <c r="N383" s="14"/>
      <c r="O383" s="12"/>
      <c r="P383" s="15"/>
      <c r="Q383" s="15"/>
      <c r="R383" s="12"/>
    </row>
    <row r="384" spans="1:18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4"/>
      <c r="L384" s="12"/>
      <c r="M384" s="15"/>
      <c r="N384" s="14"/>
      <c r="O384" s="12"/>
      <c r="P384" s="15"/>
      <c r="Q384" s="15"/>
      <c r="R384" s="12"/>
    </row>
    <row r="385" spans="1:18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4"/>
      <c r="L385" s="12"/>
      <c r="M385" s="15"/>
      <c r="N385" s="14"/>
      <c r="O385" s="12"/>
      <c r="P385" s="15"/>
      <c r="Q385" s="15"/>
      <c r="R385" s="12"/>
    </row>
    <row r="386" spans="1:18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4"/>
      <c r="L386" s="12"/>
      <c r="M386" s="15"/>
      <c r="N386" s="14"/>
      <c r="O386" s="12"/>
      <c r="P386" s="15"/>
      <c r="Q386" s="15"/>
      <c r="R386" s="12"/>
    </row>
    <row r="387" spans="1:18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4"/>
      <c r="L387" s="12"/>
      <c r="M387" s="15"/>
      <c r="N387" s="14"/>
      <c r="O387" s="12"/>
      <c r="P387" s="15"/>
      <c r="Q387" s="15"/>
      <c r="R387" s="12"/>
    </row>
    <row r="388" spans="1:18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4"/>
      <c r="L388" s="12"/>
      <c r="M388" s="15"/>
      <c r="N388" s="14"/>
      <c r="O388" s="12"/>
      <c r="P388" s="15"/>
      <c r="Q388" s="15"/>
      <c r="R388" s="12"/>
    </row>
    <row r="389" spans="1:18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4"/>
      <c r="L389" s="12"/>
      <c r="M389" s="15"/>
      <c r="N389" s="14"/>
      <c r="O389" s="12"/>
      <c r="P389" s="15"/>
      <c r="Q389" s="15"/>
      <c r="R389" s="12"/>
    </row>
    <row r="390" spans="1:18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4"/>
      <c r="L390" s="12"/>
      <c r="M390" s="15"/>
      <c r="N390" s="14"/>
      <c r="O390" s="12"/>
      <c r="P390" s="15"/>
      <c r="Q390" s="15"/>
      <c r="R390" s="12"/>
    </row>
    <row r="391" spans="1:18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4"/>
      <c r="L391" s="12"/>
      <c r="M391" s="15"/>
      <c r="N391" s="14"/>
      <c r="O391" s="12"/>
      <c r="P391" s="15"/>
      <c r="Q391" s="15"/>
      <c r="R391" s="12"/>
    </row>
    <row r="392" spans="1:18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4"/>
      <c r="L392" s="12"/>
      <c r="M392" s="15"/>
      <c r="N392" s="14"/>
      <c r="O392" s="12"/>
      <c r="P392" s="15"/>
      <c r="Q392" s="15"/>
      <c r="R392" s="12"/>
    </row>
    <row r="393" spans="1:18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4"/>
      <c r="L393" s="12"/>
      <c r="M393" s="15"/>
      <c r="N393" s="14"/>
      <c r="O393" s="12"/>
      <c r="P393" s="15"/>
      <c r="Q393" s="15"/>
      <c r="R393" s="12"/>
    </row>
    <row r="394" spans="1:18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4"/>
      <c r="L394" s="12"/>
      <c r="M394" s="15"/>
      <c r="N394" s="14"/>
      <c r="O394" s="12"/>
      <c r="P394" s="15"/>
      <c r="Q394" s="15"/>
      <c r="R394" s="12"/>
    </row>
    <row r="395" spans="1:18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4"/>
      <c r="L395" s="12"/>
      <c r="M395" s="15"/>
      <c r="N395" s="14"/>
      <c r="O395" s="12"/>
      <c r="P395" s="15"/>
      <c r="Q395" s="15"/>
      <c r="R395" s="12"/>
    </row>
    <row r="396" spans="1:18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4"/>
      <c r="L396" s="12"/>
      <c r="M396" s="15"/>
      <c r="N396" s="14"/>
      <c r="O396" s="12"/>
      <c r="P396" s="15"/>
      <c r="Q396" s="15"/>
      <c r="R396" s="12"/>
    </row>
    <row r="397" spans="1:18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4"/>
      <c r="L397" s="12"/>
      <c r="M397" s="15"/>
      <c r="N397" s="14"/>
      <c r="O397" s="12"/>
      <c r="P397" s="15"/>
      <c r="Q397" s="15"/>
      <c r="R397" s="12"/>
    </row>
    <row r="398" spans="1:18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4"/>
      <c r="L398" s="12"/>
      <c r="M398" s="15"/>
      <c r="N398" s="14"/>
      <c r="O398" s="12"/>
      <c r="P398" s="15"/>
      <c r="Q398" s="15"/>
      <c r="R398" s="12"/>
    </row>
    <row r="399" spans="1:18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4"/>
      <c r="L399" s="12"/>
      <c r="M399" s="15"/>
      <c r="N399" s="14"/>
      <c r="O399" s="12"/>
      <c r="P399" s="15"/>
      <c r="Q399" s="15"/>
      <c r="R399" s="12"/>
    </row>
    <row r="400" spans="1:18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4"/>
      <c r="L400" s="12"/>
      <c r="M400" s="15"/>
      <c r="N400" s="14"/>
      <c r="O400" s="12"/>
      <c r="P400" s="15"/>
      <c r="Q400" s="15"/>
      <c r="R400" s="12"/>
    </row>
    <row r="401" spans="1:18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4"/>
      <c r="L401" s="12"/>
      <c r="M401" s="15"/>
      <c r="N401" s="14"/>
      <c r="O401" s="12"/>
      <c r="P401" s="15"/>
      <c r="Q401" s="15"/>
      <c r="R401" s="12"/>
    </row>
    <row r="402" spans="1:18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4"/>
      <c r="L402" s="12"/>
      <c r="M402" s="15"/>
      <c r="N402" s="14"/>
      <c r="O402" s="12"/>
      <c r="P402" s="15"/>
      <c r="Q402" s="15"/>
      <c r="R402" s="12"/>
    </row>
    <row r="403" spans="1:18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4"/>
      <c r="L403" s="12"/>
      <c r="M403" s="15"/>
      <c r="N403" s="14"/>
      <c r="O403" s="12"/>
      <c r="P403" s="15"/>
      <c r="Q403" s="15"/>
      <c r="R403" s="12"/>
    </row>
    <row r="404" spans="1:18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4"/>
      <c r="L404" s="12"/>
      <c r="M404" s="15"/>
      <c r="N404" s="14"/>
      <c r="O404" s="12"/>
      <c r="P404" s="15"/>
      <c r="Q404" s="15"/>
      <c r="R404" s="12"/>
    </row>
    <row r="405" spans="1:18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4"/>
      <c r="L405" s="12"/>
      <c r="M405" s="15"/>
      <c r="N405" s="14"/>
      <c r="O405" s="12"/>
      <c r="P405" s="15"/>
      <c r="Q405" s="15"/>
      <c r="R405" s="12"/>
    </row>
    <row r="406" spans="1:18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4"/>
      <c r="L406" s="12"/>
      <c r="M406" s="15"/>
      <c r="N406" s="14"/>
      <c r="O406" s="12"/>
      <c r="P406" s="15"/>
      <c r="Q406" s="15"/>
      <c r="R406" s="12"/>
    </row>
    <row r="407" spans="1:18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4"/>
      <c r="L407" s="12"/>
      <c r="M407" s="15"/>
      <c r="N407" s="14"/>
      <c r="O407" s="12"/>
      <c r="P407" s="15"/>
      <c r="Q407" s="15"/>
      <c r="R407" s="12"/>
    </row>
    <row r="408" spans="1:18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4"/>
      <c r="L408" s="12"/>
      <c r="M408" s="15"/>
      <c r="N408" s="14"/>
      <c r="O408" s="12"/>
      <c r="P408" s="15"/>
      <c r="Q408" s="15"/>
      <c r="R408" s="12"/>
    </row>
    <row r="409" spans="1:18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4"/>
      <c r="L409" s="12"/>
      <c r="M409" s="15"/>
      <c r="N409" s="14"/>
      <c r="O409" s="12"/>
      <c r="P409" s="15"/>
      <c r="Q409" s="15"/>
      <c r="R409" s="12"/>
    </row>
    <row r="410" spans="1:18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4"/>
      <c r="L410" s="12"/>
      <c r="M410" s="15"/>
      <c r="N410" s="14"/>
      <c r="O410" s="12"/>
      <c r="P410" s="15"/>
      <c r="Q410" s="15"/>
      <c r="R410" s="12"/>
    </row>
    <row r="411" spans="1:18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4"/>
      <c r="L411" s="12"/>
      <c r="M411" s="15"/>
      <c r="N411" s="14"/>
      <c r="O411" s="12"/>
      <c r="P411" s="15"/>
      <c r="Q411" s="15"/>
      <c r="R411" s="12"/>
    </row>
    <row r="412" spans="1:18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4"/>
      <c r="L412" s="12"/>
      <c r="M412" s="15"/>
      <c r="N412" s="14"/>
      <c r="O412" s="12"/>
      <c r="P412" s="15"/>
      <c r="Q412" s="15"/>
      <c r="R412" s="12"/>
    </row>
    <row r="413" spans="1:18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4"/>
      <c r="L413" s="12"/>
      <c r="M413" s="15"/>
      <c r="N413" s="14"/>
      <c r="O413" s="12"/>
      <c r="P413" s="15"/>
      <c r="Q413" s="15"/>
      <c r="R413" s="12"/>
    </row>
    <row r="414" spans="1:18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4"/>
      <c r="L414" s="12"/>
      <c r="M414" s="15"/>
      <c r="N414" s="14"/>
      <c r="O414" s="12"/>
      <c r="P414" s="15"/>
      <c r="Q414" s="15"/>
      <c r="R414" s="12"/>
    </row>
    <row r="415" spans="1:18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4"/>
      <c r="L415" s="12"/>
      <c r="M415" s="15"/>
      <c r="N415" s="14"/>
      <c r="O415" s="12"/>
      <c r="P415" s="15"/>
      <c r="Q415" s="15"/>
      <c r="R415" s="12"/>
    </row>
    <row r="416" spans="1:18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4"/>
      <c r="L416" s="12"/>
      <c r="M416" s="15"/>
      <c r="N416" s="14"/>
      <c r="O416" s="12"/>
      <c r="P416" s="15"/>
      <c r="Q416" s="15"/>
      <c r="R416" s="12"/>
    </row>
    <row r="417" spans="1:18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4"/>
      <c r="L417" s="12"/>
      <c r="M417" s="15"/>
      <c r="N417" s="14"/>
      <c r="O417" s="12"/>
      <c r="P417" s="15"/>
      <c r="Q417" s="15"/>
      <c r="R417" s="12"/>
    </row>
    <row r="418" spans="1:18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4"/>
      <c r="L418" s="12"/>
      <c r="M418" s="15"/>
      <c r="N418" s="14"/>
      <c r="O418" s="12"/>
      <c r="P418" s="15"/>
      <c r="Q418" s="15"/>
      <c r="R418" s="12"/>
    </row>
    <row r="419" spans="1:18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4"/>
      <c r="L419" s="12"/>
      <c r="M419" s="15"/>
      <c r="N419" s="14"/>
      <c r="O419" s="12"/>
      <c r="P419" s="15"/>
      <c r="Q419" s="15"/>
      <c r="R419" s="12"/>
    </row>
    <row r="420" spans="1:18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4"/>
      <c r="L420" s="12"/>
      <c r="M420" s="15"/>
      <c r="N420" s="14"/>
      <c r="O420" s="12"/>
      <c r="P420" s="15"/>
      <c r="Q420" s="15"/>
      <c r="R420" s="12"/>
    </row>
    <row r="421" spans="1:18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4"/>
      <c r="L421" s="12"/>
      <c r="M421" s="15"/>
      <c r="N421" s="14"/>
      <c r="O421" s="12"/>
      <c r="P421" s="15"/>
      <c r="Q421" s="15"/>
      <c r="R421" s="12"/>
    </row>
    <row r="422" spans="1:18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4"/>
      <c r="L422" s="12"/>
      <c r="M422" s="15"/>
      <c r="N422" s="14"/>
      <c r="O422" s="12"/>
      <c r="P422" s="15"/>
      <c r="Q422" s="15"/>
      <c r="R422" s="12"/>
    </row>
    <row r="423" spans="1:18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4"/>
      <c r="L423" s="12"/>
      <c r="M423" s="15"/>
      <c r="N423" s="14"/>
      <c r="O423" s="12"/>
      <c r="P423" s="15"/>
      <c r="Q423" s="15"/>
      <c r="R423" s="12"/>
    </row>
    <row r="424" spans="1:18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4"/>
      <c r="L424" s="12"/>
      <c r="M424" s="15"/>
      <c r="N424" s="14"/>
      <c r="O424" s="12"/>
      <c r="P424" s="15"/>
      <c r="Q424" s="15"/>
      <c r="R424" s="12"/>
    </row>
    <row r="425" spans="1:18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4"/>
      <c r="L425" s="12"/>
      <c r="M425" s="15"/>
      <c r="N425" s="14"/>
      <c r="O425" s="12"/>
      <c r="P425" s="15"/>
      <c r="Q425" s="15"/>
      <c r="R425" s="12"/>
    </row>
    <row r="426" spans="1:18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4"/>
      <c r="L426" s="12"/>
      <c r="M426" s="15"/>
      <c r="N426" s="14"/>
      <c r="O426" s="12"/>
      <c r="P426" s="15"/>
      <c r="Q426" s="15"/>
      <c r="R426" s="12"/>
    </row>
    <row r="427" spans="1:18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4"/>
      <c r="L427" s="12"/>
      <c r="M427" s="15"/>
      <c r="N427" s="14"/>
      <c r="O427" s="12"/>
      <c r="P427" s="15"/>
      <c r="Q427" s="15"/>
      <c r="R427" s="12"/>
    </row>
    <row r="428" spans="1:18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4"/>
      <c r="L428" s="12"/>
      <c r="M428" s="15"/>
      <c r="N428" s="14"/>
      <c r="O428" s="12"/>
      <c r="P428" s="15"/>
      <c r="Q428" s="15"/>
      <c r="R428" s="12"/>
    </row>
    <row r="429" spans="1:18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4"/>
      <c r="L429" s="12"/>
      <c r="M429" s="15"/>
      <c r="N429" s="14"/>
      <c r="O429" s="12"/>
      <c r="P429" s="15"/>
      <c r="Q429" s="15"/>
      <c r="R429" s="12"/>
    </row>
    <row r="430" spans="1:18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4"/>
      <c r="L430" s="12"/>
      <c r="M430" s="15"/>
      <c r="N430" s="14"/>
      <c r="O430" s="12"/>
      <c r="P430" s="15"/>
      <c r="Q430" s="15"/>
      <c r="R430" s="12"/>
    </row>
    <row r="431" spans="1:18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4"/>
      <c r="L431" s="12"/>
      <c r="M431" s="15"/>
      <c r="N431" s="14"/>
      <c r="O431" s="12"/>
      <c r="P431" s="15"/>
      <c r="Q431" s="15"/>
      <c r="R431" s="12"/>
    </row>
    <row r="432" spans="1:18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4"/>
      <c r="L432" s="12"/>
      <c r="M432" s="15"/>
      <c r="N432" s="14"/>
      <c r="O432" s="12"/>
      <c r="P432" s="15"/>
      <c r="Q432" s="15"/>
      <c r="R432" s="12"/>
    </row>
    <row r="433" spans="1:18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4"/>
      <c r="L433" s="12"/>
      <c r="M433" s="15"/>
      <c r="N433" s="14"/>
      <c r="O433" s="12"/>
      <c r="P433" s="15"/>
      <c r="Q433" s="15"/>
      <c r="R433" s="12"/>
    </row>
    <row r="434" spans="1:18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4"/>
      <c r="L434" s="12"/>
      <c r="M434" s="15"/>
      <c r="N434" s="14"/>
      <c r="O434" s="12"/>
      <c r="P434" s="15"/>
      <c r="Q434" s="15"/>
      <c r="R434" s="12"/>
    </row>
    <row r="435" spans="1:18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4"/>
      <c r="L435" s="12"/>
      <c r="M435" s="15"/>
      <c r="N435" s="14"/>
      <c r="O435" s="12"/>
      <c r="P435" s="15"/>
      <c r="Q435" s="15"/>
      <c r="R435" s="12"/>
    </row>
    <row r="436" spans="1:18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4"/>
      <c r="L436" s="12"/>
      <c r="M436" s="15"/>
      <c r="N436" s="14"/>
      <c r="O436" s="12"/>
      <c r="P436" s="15"/>
      <c r="Q436" s="15"/>
      <c r="R436" s="12"/>
    </row>
    <row r="437" spans="1:18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4"/>
      <c r="L437" s="12"/>
      <c r="M437" s="15"/>
      <c r="N437" s="14"/>
      <c r="O437" s="12"/>
      <c r="P437" s="15"/>
      <c r="Q437" s="15"/>
      <c r="R437" s="12"/>
    </row>
    <row r="438" spans="1:18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4"/>
      <c r="L438" s="12"/>
      <c r="M438" s="15"/>
      <c r="N438" s="14"/>
      <c r="O438" s="12"/>
      <c r="P438" s="15"/>
      <c r="Q438" s="15"/>
      <c r="R438" s="12"/>
    </row>
    <row r="439" spans="1:18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4"/>
      <c r="L439" s="12"/>
      <c r="M439" s="15"/>
      <c r="N439" s="14"/>
      <c r="O439" s="12"/>
      <c r="P439" s="15"/>
      <c r="Q439" s="15"/>
      <c r="R439" s="12"/>
    </row>
    <row r="440" spans="1:18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4"/>
      <c r="L440" s="12"/>
      <c r="M440" s="15"/>
      <c r="N440" s="14"/>
      <c r="O440" s="12"/>
      <c r="P440" s="15"/>
      <c r="Q440" s="15"/>
      <c r="R440" s="12"/>
    </row>
    <row r="441" spans="1:18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4"/>
      <c r="L441" s="12"/>
      <c r="M441" s="15"/>
      <c r="N441" s="14"/>
      <c r="O441" s="12"/>
      <c r="P441" s="15"/>
      <c r="Q441" s="15"/>
      <c r="R441" s="12"/>
    </row>
    <row r="442" spans="1:18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4"/>
      <c r="L442" s="12"/>
      <c r="M442" s="15"/>
      <c r="N442" s="14"/>
      <c r="O442" s="12"/>
      <c r="P442" s="15"/>
      <c r="Q442" s="15"/>
      <c r="R442" s="12"/>
    </row>
    <row r="443" spans="1:18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4"/>
      <c r="L443" s="12"/>
      <c r="M443" s="15"/>
      <c r="N443" s="14"/>
      <c r="O443" s="12"/>
      <c r="P443" s="15"/>
      <c r="Q443" s="15"/>
      <c r="R443" s="12"/>
    </row>
    <row r="444" spans="1:18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4"/>
      <c r="L444" s="12"/>
      <c r="M444" s="15"/>
      <c r="N444" s="14"/>
      <c r="O444" s="12"/>
      <c r="P444" s="15"/>
      <c r="Q444" s="15"/>
      <c r="R444" s="12"/>
    </row>
    <row r="445" spans="1:18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4"/>
      <c r="L445" s="12"/>
      <c r="M445" s="15"/>
      <c r="N445" s="14"/>
      <c r="O445" s="12"/>
      <c r="P445" s="15"/>
      <c r="Q445" s="15"/>
      <c r="R445" s="12"/>
    </row>
    <row r="446" spans="1:18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4"/>
      <c r="L446" s="12"/>
      <c r="M446" s="15"/>
      <c r="N446" s="14"/>
      <c r="O446" s="12"/>
      <c r="P446" s="15"/>
      <c r="Q446" s="15"/>
      <c r="R446" s="12"/>
    </row>
    <row r="447" spans="1:18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4"/>
      <c r="L447" s="12"/>
      <c r="M447" s="15"/>
      <c r="N447" s="14"/>
      <c r="O447" s="12"/>
      <c r="P447" s="15"/>
      <c r="Q447" s="15"/>
      <c r="R447" s="12"/>
    </row>
    <row r="448" spans="1:18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4"/>
      <c r="L448" s="12"/>
      <c r="M448" s="15"/>
      <c r="N448" s="14"/>
      <c r="O448" s="12"/>
      <c r="P448" s="15"/>
      <c r="Q448" s="15"/>
      <c r="R448" s="12"/>
    </row>
    <row r="449" spans="1:18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4"/>
      <c r="L449" s="12"/>
      <c r="M449" s="15"/>
      <c r="N449" s="14"/>
      <c r="O449" s="12"/>
      <c r="P449" s="15"/>
      <c r="Q449" s="15"/>
      <c r="R449" s="12"/>
    </row>
    <row r="450" spans="1:18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4"/>
      <c r="L450" s="12"/>
      <c r="M450" s="15"/>
      <c r="N450" s="14"/>
      <c r="O450" s="12"/>
      <c r="P450" s="15"/>
      <c r="Q450" s="15"/>
      <c r="R450" s="12"/>
    </row>
    <row r="451" spans="1:18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4"/>
      <c r="L451" s="12"/>
      <c r="M451" s="15"/>
      <c r="N451" s="14"/>
      <c r="O451" s="12"/>
      <c r="P451" s="15"/>
      <c r="Q451" s="15"/>
      <c r="R451" s="12"/>
    </row>
    <row r="452" spans="1:18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4"/>
      <c r="L452" s="12"/>
      <c r="M452" s="15"/>
      <c r="N452" s="14"/>
      <c r="O452" s="12"/>
      <c r="P452" s="15"/>
      <c r="Q452" s="15"/>
      <c r="R452" s="12"/>
    </row>
    <row r="453" spans="1:18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4"/>
      <c r="L453" s="12"/>
      <c r="M453" s="15"/>
      <c r="N453" s="14"/>
      <c r="O453" s="12"/>
      <c r="P453" s="15"/>
      <c r="Q453" s="15"/>
      <c r="R453" s="12"/>
    </row>
    <row r="454" spans="1:18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4"/>
      <c r="L454" s="12"/>
      <c r="M454" s="15"/>
      <c r="N454" s="14"/>
      <c r="O454" s="12"/>
      <c r="P454" s="15"/>
      <c r="Q454" s="15"/>
      <c r="R454" s="12"/>
    </row>
    <row r="455" spans="1:18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4"/>
      <c r="L455" s="12"/>
      <c r="M455" s="15"/>
      <c r="N455" s="14"/>
      <c r="O455" s="12"/>
      <c r="P455" s="15"/>
      <c r="Q455" s="15"/>
      <c r="R455" s="12"/>
    </row>
    <row r="456" spans="1:18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4"/>
      <c r="L456" s="12"/>
      <c r="M456" s="15"/>
      <c r="N456" s="14"/>
      <c r="O456" s="12"/>
      <c r="P456" s="15"/>
      <c r="Q456" s="15"/>
      <c r="R456" s="12"/>
    </row>
    <row r="457" spans="1:18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4"/>
      <c r="L457" s="12"/>
      <c r="M457" s="15"/>
      <c r="N457" s="14"/>
      <c r="O457" s="12"/>
      <c r="P457" s="15"/>
      <c r="Q457" s="15"/>
      <c r="R457" s="12"/>
    </row>
    <row r="458" spans="1:18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4"/>
      <c r="L458" s="12"/>
      <c r="M458" s="15"/>
      <c r="N458" s="14"/>
      <c r="O458" s="12"/>
      <c r="P458" s="15"/>
      <c r="Q458" s="15"/>
      <c r="R458" s="12"/>
    </row>
    <row r="459" spans="1:18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4"/>
      <c r="L459" s="12"/>
      <c r="M459" s="15"/>
      <c r="N459" s="14"/>
      <c r="O459" s="12"/>
      <c r="P459" s="15"/>
      <c r="Q459" s="15"/>
      <c r="R459" s="12"/>
    </row>
    <row r="460" spans="1:18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4"/>
      <c r="L460" s="12"/>
      <c r="M460" s="15"/>
      <c r="N460" s="14"/>
      <c r="O460" s="12"/>
      <c r="P460" s="15"/>
      <c r="Q460" s="15"/>
      <c r="R460" s="12"/>
    </row>
    <row r="461" spans="1:18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4"/>
      <c r="L461" s="12"/>
      <c r="M461" s="15"/>
      <c r="N461" s="14"/>
      <c r="O461" s="12"/>
      <c r="P461" s="15"/>
      <c r="Q461" s="15"/>
      <c r="R461" s="12"/>
    </row>
    <row r="462" spans="1:18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4"/>
      <c r="L462" s="12"/>
      <c r="M462" s="15"/>
      <c r="N462" s="14"/>
      <c r="O462" s="12"/>
      <c r="P462" s="15"/>
      <c r="Q462" s="15"/>
      <c r="R462" s="12"/>
    </row>
    <row r="463" spans="1:18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4"/>
      <c r="L463" s="12"/>
      <c r="M463" s="15"/>
      <c r="N463" s="14"/>
      <c r="O463" s="12"/>
      <c r="P463" s="15"/>
      <c r="Q463" s="15"/>
      <c r="R463" s="12"/>
    </row>
    <row r="464" spans="1:18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4"/>
      <c r="L464" s="12"/>
      <c r="M464" s="15"/>
      <c r="N464" s="14"/>
      <c r="O464" s="12"/>
      <c r="P464" s="15"/>
      <c r="Q464" s="15"/>
      <c r="R464" s="12"/>
    </row>
    <row r="465" spans="1:18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4"/>
      <c r="L465" s="12"/>
      <c r="M465" s="15"/>
      <c r="N465" s="14"/>
      <c r="O465" s="12"/>
      <c r="P465" s="15"/>
      <c r="Q465" s="15"/>
      <c r="R465" s="12"/>
    </row>
    <row r="466" spans="1:18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4"/>
      <c r="L466" s="12"/>
      <c r="M466" s="15"/>
      <c r="N466" s="14"/>
      <c r="O466" s="12"/>
      <c r="P466" s="15"/>
      <c r="Q466" s="15"/>
      <c r="R466" s="12"/>
    </row>
    <row r="467" spans="1:18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4"/>
      <c r="L467" s="12"/>
      <c r="M467" s="15"/>
      <c r="N467" s="14"/>
      <c r="O467" s="12"/>
      <c r="P467" s="15"/>
      <c r="Q467" s="15"/>
      <c r="R467" s="12"/>
    </row>
    <row r="468" spans="1:18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4"/>
      <c r="L468" s="12"/>
      <c r="M468" s="15"/>
      <c r="N468" s="14"/>
      <c r="O468" s="12"/>
      <c r="P468" s="15"/>
      <c r="Q468" s="15"/>
      <c r="R468" s="12"/>
    </row>
    <row r="469" spans="1:18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4"/>
      <c r="L469" s="12"/>
      <c r="M469" s="15"/>
      <c r="N469" s="14"/>
      <c r="O469" s="12"/>
      <c r="P469" s="15"/>
      <c r="Q469" s="15"/>
      <c r="R469" s="12"/>
    </row>
    <row r="470" spans="1:18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4"/>
      <c r="L470" s="12"/>
      <c r="M470" s="15"/>
      <c r="N470" s="14"/>
      <c r="O470" s="12"/>
      <c r="P470" s="15"/>
      <c r="Q470" s="15"/>
      <c r="R470" s="12"/>
    </row>
    <row r="471" spans="1:18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4"/>
      <c r="L471" s="12"/>
      <c r="M471" s="15"/>
      <c r="N471" s="14"/>
      <c r="O471" s="12"/>
      <c r="P471" s="15"/>
      <c r="Q471" s="15"/>
      <c r="R471" s="12"/>
    </row>
    <row r="472" spans="1:18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4"/>
      <c r="L472" s="12"/>
      <c r="M472" s="15"/>
      <c r="N472" s="14"/>
      <c r="O472" s="12"/>
      <c r="P472" s="15"/>
      <c r="Q472" s="15"/>
      <c r="R472" s="12"/>
    </row>
    <row r="473" spans="1:18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4"/>
      <c r="L473" s="12"/>
      <c r="M473" s="15"/>
      <c r="N473" s="14"/>
      <c r="O473" s="12"/>
      <c r="P473" s="15"/>
      <c r="Q473" s="15"/>
      <c r="R473" s="12"/>
    </row>
    <row r="474" spans="1:18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4"/>
      <c r="L474" s="12"/>
      <c r="M474" s="15"/>
      <c r="N474" s="14"/>
      <c r="O474" s="12"/>
      <c r="P474" s="15"/>
      <c r="Q474" s="15"/>
      <c r="R474" s="12"/>
    </row>
    <row r="475" spans="1:18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4"/>
      <c r="L475" s="12"/>
      <c r="M475" s="15"/>
      <c r="N475" s="14"/>
      <c r="O475" s="12"/>
      <c r="P475" s="15"/>
      <c r="Q475" s="15"/>
      <c r="R475" s="12"/>
    </row>
    <row r="476" spans="1:18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4"/>
      <c r="L476" s="12"/>
      <c r="M476" s="15"/>
      <c r="N476" s="14"/>
      <c r="O476" s="12"/>
      <c r="P476" s="15"/>
      <c r="Q476" s="15"/>
      <c r="R476" s="12"/>
    </row>
    <row r="477" spans="1:18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4"/>
      <c r="L477" s="12"/>
      <c r="M477" s="15"/>
      <c r="N477" s="14"/>
      <c r="O477" s="12"/>
      <c r="P477" s="15"/>
      <c r="Q477" s="15"/>
      <c r="R477" s="12"/>
    </row>
    <row r="478" spans="1:18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4"/>
      <c r="L478" s="12"/>
      <c r="M478" s="15"/>
      <c r="N478" s="14"/>
      <c r="O478" s="12"/>
      <c r="P478" s="15"/>
      <c r="Q478" s="15"/>
      <c r="R478" s="12"/>
    </row>
    <row r="479" spans="1:18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4"/>
      <c r="L479" s="12"/>
      <c r="M479" s="15"/>
      <c r="N479" s="14"/>
      <c r="O479" s="12"/>
      <c r="P479" s="15"/>
      <c r="Q479" s="15"/>
      <c r="R479" s="12"/>
    </row>
    <row r="480" spans="1:18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4"/>
      <c r="L480" s="12"/>
      <c r="M480" s="15"/>
      <c r="N480" s="14"/>
      <c r="O480" s="12"/>
      <c r="P480" s="15"/>
      <c r="Q480" s="15"/>
      <c r="R480" s="12"/>
    </row>
    <row r="481" spans="1:18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4"/>
      <c r="L481" s="12"/>
      <c r="M481" s="15"/>
      <c r="N481" s="14"/>
      <c r="O481" s="12"/>
      <c r="P481" s="15"/>
      <c r="Q481" s="15"/>
      <c r="R481" s="12"/>
    </row>
    <row r="482" spans="1:18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4"/>
      <c r="L482" s="12"/>
      <c r="M482" s="15"/>
      <c r="N482" s="14"/>
      <c r="O482" s="12"/>
      <c r="P482" s="15"/>
      <c r="Q482" s="15"/>
      <c r="R482" s="12"/>
    </row>
    <row r="483" spans="1:18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4"/>
      <c r="L483" s="12"/>
      <c r="M483" s="15"/>
      <c r="N483" s="14"/>
      <c r="O483" s="12"/>
      <c r="P483" s="15"/>
      <c r="Q483" s="15"/>
      <c r="R483" s="12"/>
    </row>
    <row r="484" spans="1:18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4"/>
      <c r="L484" s="12"/>
      <c r="M484" s="15"/>
      <c r="N484" s="14"/>
      <c r="O484" s="12"/>
      <c r="P484" s="15"/>
      <c r="Q484" s="15"/>
      <c r="R484" s="12"/>
    </row>
    <row r="485" spans="1:18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4"/>
      <c r="L485" s="12"/>
      <c r="M485" s="15"/>
      <c r="N485" s="14"/>
      <c r="O485" s="12"/>
      <c r="P485" s="15"/>
      <c r="Q485" s="15"/>
      <c r="R485" s="12"/>
    </row>
    <row r="486" spans="1:18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4"/>
      <c r="L486" s="12"/>
      <c r="M486" s="15"/>
      <c r="N486" s="14"/>
      <c r="O486" s="12"/>
      <c r="P486" s="15"/>
      <c r="Q486" s="15"/>
      <c r="R486" s="12"/>
    </row>
    <row r="487" spans="1:18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4"/>
      <c r="L487" s="12"/>
      <c r="M487" s="15"/>
      <c r="N487" s="14"/>
      <c r="O487" s="12"/>
      <c r="P487" s="15"/>
      <c r="Q487" s="15"/>
      <c r="R487" s="12"/>
    </row>
    <row r="488" spans="1:18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4"/>
      <c r="L488" s="12"/>
      <c r="M488" s="15"/>
      <c r="N488" s="14"/>
      <c r="O488" s="12"/>
      <c r="P488" s="15"/>
      <c r="Q488" s="15"/>
      <c r="R488" s="12"/>
    </row>
    <row r="489" spans="1:18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4"/>
      <c r="L489" s="12"/>
      <c r="M489" s="15"/>
      <c r="N489" s="14"/>
      <c r="O489" s="12"/>
      <c r="P489" s="15"/>
      <c r="Q489" s="15"/>
      <c r="R489" s="12"/>
    </row>
    <row r="490" spans="1:18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4"/>
      <c r="L490" s="12"/>
      <c r="M490" s="15"/>
      <c r="N490" s="14"/>
      <c r="O490" s="12"/>
      <c r="P490" s="15"/>
      <c r="Q490" s="15"/>
      <c r="R490" s="12"/>
    </row>
    <row r="491" spans="1:18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4"/>
      <c r="L491" s="12"/>
      <c r="M491" s="15"/>
      <c r="N491" s="14"/>
      <c r="O491" s="12"/>
      <c r="P491" s="15"/>
      <c r="Q491" s="15"/>
      <c r="R491" s="12"/>
    </row>
    <row r="492" spans="1:18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4"/>
      <c r="L492" s="12"/>
      <c r="M492" s="15"/>
      <c r="N492" s="14"/>
      <c r="O492" s="12"/>
      <c r="P492" s="15"/>
      <c r="Q492" s="15"/>
      <c r="R492" s="12"/>
    </row>
    <row r="493" spans="1:18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4"/>
      <c r="L493" s="12"/>
      <c r="M493" s="15"/>
      <c r="N493" s="14"/>
      <c r="O493" s="12"/>
      <c r="P493" s="15"/>
      <c r="Q493" s="15"/>
      <c r="R493" s="12"/>
    </row>
    <row r="494" spans="1:18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4"/>
      <c r="L494" s="12"/>
      <c r="M494" s="15"/>
      <c r="N494" s="14"/>
      <c r="O494" s="12"/>
      <c r="P494" s="15"/>
      <c r="Q494" s="15"/>
      <c r="R494" s="12"/>
    </row>
    <row r="495" spans="1:18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4"/>
      <c r="L495" s="12"/>
      <c r="M495" s="15"/>
      <c r="N495" s="14"/>
      <c r="O495" s="12"/>
      <c r="P495" s="15"/>
      <c r="Q495" s="15"/>
      <c r="R495" s="12"/>
    </row>
    <row r="496" spans="1:18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4"/>
      <c r="L496" s="12"/>
      <c r="M496" s="15"/>
      <c r="N496" s="14"/>
      <c r="O496" s="12"/>
      <c r="P496" s="15"/>
      <c r="Q496" s="15"/>
      <c r="R496" s="12"/>
    </row>
    <row r="497" spans="1:18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4"/>
      <c r="L497" s="12"/>
      <c r="M497" s="15"/>
      <c r="N497" s="14"/>
      <c r="O497" s="12"/>
      <c r="P497" s="15"/>
      <c r="Q497" s="15"/>
      <c r="R497" s="12"/>
    </row>
    <row r="498" spans="1:18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4"/>
      <c r="L498" s="12"/>
      <c r="M498" s="15"/>
      <c r="N498" s="14"/>
      <c r="O498" s="12"/>
      <c r="P498" s="15"/>
      <c r="Q498" s="15"/>
      <c r="R498" s="12"/>
    </row>
    <row r="499" spans="1:18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4"/>
      <c r="L499" s="12"/>
      <c r="M499" s="15"/>
      <c r="N499" s="14"/>
      <c r="O499" s="12"/>
      <c r="P499" s="15"/>
      <c r="Q499" s="15"/>
      <c r="R499" s="12"/>
    </row>
    <row r="500" spans="1:18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4"/>
      <c r="L500" s="12"/>
      <c r="M500" s="15"/>
      <c r="N500" s="14"/>
      <c r="O500" s="12"/>
      <c r="P500" s="15"/>
      <c r="Q500" s="15"/>
      <c r="R500" s="12"/>
    </row>
    <row r="501" spans="1:18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4"/>
      <c r="L501" s="12"/>
      <c r="M501" s="15"/>
      <c r="N501" s="14"/>
      <c r="O501" s="12"/>
      <c r="P501" s="15"/>
      <c r="Q501" s="15"/>
      <c r="R501" s="12"/>
    </row>
    <row r="502" spans="1:18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4"/>
      <c r="L502" s="12"/>
      <c r="M502" s="15"/>
      <c r="N502" s="14"/>
      <c r="O502" s="12"/>
      <c r="P502" s="15"/>
      <c r="Q502" s="15"/>
      <c r="R502" s="12"/>
    </row>
    <row r="503" spans="1:18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4"/>
      <c r="L503" s="12"/>
      <c r="M503" s="15"/>
      <c r="N503" s="14"/>
      <c r="O503" s="12"/>
      <c r="P503" s="15"/>
      <c r="Q503" s="15"/>
      <c r="R503" s="12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J502"/>
  <sheetViews>
    <sheetView tabSelected="1" workbookViewId="0">
      <pane ySplit="1" topLeftCell="B58" activePane="bottomLeft" state="frozen"/>
      <selection pane="bottomLeft" activeCell="I2" sqref="I2:I63"/>
    </sheetView>
  </sheetViews>
  <sheetFormatPr defaultColWidth="12.5703125" defaultRowHeight="30" customHeight="1"/>
  <cols>
    <col min="1" max="1" width="22.42578125" customWidth="1"/>
    <col min="2" max="2" width="26" customWidth="1"/>
    <col min="3" max="3" width="16.7109375" customWidth="1"/>
    <col min="4" max="4" width="15" customWidth="1"/>
    <col min="5" max="5" width="17.28515625" customWidth="1"/>
    <col min="6" max="6" width="20.140625" customWidth="1"/>
    <col min="7" max="7" width="22.140625" customWidth="1"/>
    <col min="8" max="8" width="18" customWidth="1"/>
    <col min="9" max="9" width="21" style="60" customWidth="1"/>
    <col min="10" max="10" width="21" style="64" customWidth="1"/>
  </cols>
  <sheetData>
    <row r="1" spans="1:10" ht="30" customHeight="1">
      <c r="A1" s="52" t="s">
        <v>216</v>
      </c>
      <c r="B1" s="52" t="s">
        <v>217</v>
      </c>
      <c r="C1" s="53" t="s">
        <v>218</v>
      </c>
      <c r="D1" s="52" t="s">
        <v>219</v>
      </c>
      <c r="E1" s="53" t="s">
        <v>220</v>
      </c>
      <c r="F1" s="52" t="s">
        <v>221</v>
      </c>
      <c r="G1" s="52" t="s">
        <v>222</v>
      </c>
      <c r="H1" s="52" t="s">
        <v>223</v>
      </c>
      <c r="I1" s="58" t="s">
        <v>224</v>
      </c>
      <c r="J1" s="62" t="s">
        <v>225</v>
      </c>
    </row>
    <row r="2" spans="1:10" ht="30" customHeight="1">
      <c r="A2" s="12" t="s">
        <v>27</v>
      </c>
      <c r="B2" s="12" t="s">
        <v>28</v>
      </c>
      <c r="C2" s="12" t="s">
        <v>23</v>
      </c>
      <c r="D2" s="13" t="s">
        <v>24</v>
      </c>
      <c r="E2" s="12" t="s">
        <v>30</v>
      </c>
      <c r="F2" s="14">
        <v>44742</v>
      </c>
      <c r="G2" s="14">
        <v>44812</v>
      </c>
      <c r="H2" s="15">
        <v>22</v>
      </c>
      <c r="I2" s="61">
        <v>262752.95</v>
      </c>
      <c r="J2" s="65">
        <v>69511.362433862436</v>
      </c>
    </row>
    <row r="3" spans="1:10" ht="30" customHeight="1">
      <c r="A3" s="12" t="s">
        <v>32</v>
      </c>
      <c r="B3" s="12" t="s">
        <v>28</v>
      </c>
      <c r="C3" s="12" t="s">
        <v>23</v>
      </c>
      <c r="D3" s="13" t="s">
        <v>24</v>
      </c>
      <c r="E3" s="12" t="s">
        <v>30</v>
      </c>
      <c r="F3" s="14">
        <v>44742</v>
      </c>
      <c r="G3" s="14">
        <v>44812</v>
      </c>
      <c r="H3" s="15">
        <v>25</v>
      </c>
      <c r="I3" s="61">
        <v>3158.7</v>
      </c>
      <c r="J3" s="65">
        <v>835.6349206349206</v>
      </c>
    </row>
    <row r="4" spans="1:10" ht="30" customHeight="1">
      <c r="A4" s="12" t="s">
        <v>34</v>
      </c>
      <c r="B4" s="12" t="s">
        <v>35</v>
      </c>
      <c r="C4" s="12" t="s">
        <v>23</v>
      </c>
      <c r="D4" s="13" t="s">
        <v>24</v>
      </c>
      <c r="E4" s="12" t="s">
        <v>36</v>
      </c>
      <c r="F4" s="14">
        <v>44729</v>
      </c>
      <c r="G4" s="14">
        <v>44748</v>
      </c>
      <c r="H4" s="15">
        <v>4</v>
      </c>
      <c r="I4" s="61">
        <v>1438.34</v>
      </c>
      <c r="J4" s="65">
        <v>380.51322751322749</v>
      </c>
    </row>
    <row r="5" spans="1:10" ht="30" customHeight="1">
      <c r="A5" s="12" t="s">
        <v>39</v>
      </c>
      <c r="B5" s="12" t="s">
        <v>40</v>
      </c>
      <c r="C5" s="12" t="s">
        <v>23</v>
      </c>
      <c r="D5" s="12" t="s">
        <v>24</v>
      </c>
      <c r="E5" s="12" t="s">
        <v>37</v>
      </c>
      <c r="F5" s="14">
        <v>44734</v>
      </c>
      <c r="G5" s="14">
        <v>44824</v>
      </c>
      <c r="H5" s="15">
        <v>19</v>
      </c>
      <c r="I5" s="61">
        <v>21730.04</v>
      </c>
      <c r="J5" s="65">
        <v>5748.6878306878316</v>
      </c>
    </row>
    <row r="6" spans="1:10" ht="30" customHeight="1">
      <c r="A6" s="12" t="s">
        <v>42</v>
      </c>
      <c r="B6" s="12" t="s">
        <v>40</v>
      </c>
      <c r="C6" s="12" t="s">
        <v>23</v>
      </c>
      <c r="D6" s="12" t="s">
        <v>24</v>
      </c>
      <c r="E6" s="12" t="s">
        <v>37</v>
      </c>
      <c r="F6" s="14">
        <v>44734</v>
      </c>
      <c r="G6" s="14">
        <v>44889</v>
      </c>
      <c r="H6" s="15">
        <v>5</v>
      </c>
      <c r="I6" s="61">
        <v>31253.360000000001</v>
      </c>
      <c r="J6" s="65">
        <v>8268.0846560846567</v>
      </c>
    </row>
    <row r="7" spans="1:10" ht="30" customHeight="1">
      <c r="A7" s="12" t="s">
        <v>44</v>
      </c>
      <c r="B7" s="12" t="s">
        <v>40</v>
      </c>
      <c r="C7" s="12" t="s">
        <v>23</v>
      </c>
      <c r="D7" s="12" t="s">
        <v>24</v>
      </c>
      <c r="E7" s="12" t="s">
        <v>37</v>
      </c>
      <c r="F7" s="14">
        <v>44734</v>
      </c>
      <c r="G7" s="14">
        <v>44889</v>
      </c>
      <c r="H7" s="15">
        <v>11</v>
      </c>
      <c r="I7" s="61">
        <v>13340.46</v>
      </c>
      <c r="J7" s="65">
        <v>3529.2222222222222</v>
      </c>
    </row>
    <row r="8" spans="1:10" ht="30" customHeight="1">
      <c r="A8" s="12" t="s">
        <v>46</v>
      </c>
      <c r="B8" s="12" t="s">
        <v>40</v>
      </c>
      <c r="C8" s="12" t="s">
        <v>23</v>
      </c>
      <c r="D8" s="12" t="s">
        <v>24</v>
      </c>
      <c r="E8" s="12" t="s">
        <v>37</v>
      </c>
      <c r="F8" s="14">
        <v>44734</v>
      </c>
      <c r="G8" s="14">
        <v>44840</v>
      </c>
      <c r="H8" s="15">
        <v>10</v>
      </c>
      <c r="I8" s="61">
        <v>12325.07</v>
      </c>
      <c r="J8" s="65">
        <v>3260.600529100529</v>
      </c>
    </row>
    <row r="9" spans="1:10" ht="30" customHeight="1">
      <c r="A9" s="12" t="s">
        <v>48</v>
      </c>
      <c r="B9" s="12" t="s">
        <v>49</v>
      </c>
      <c r="C9" s="12" t="s">
        <v>23</v>
      </c>
      <c r="D9" s="12" t="s">
        <v>50</v>
      </c>
      <c r="E9" s="12" t="s">
        <v>37</v>
      </c>
      <c r="F9" s="14">
        <v>44734</v>
      </c>
      <c r="G9" s="14">
        <v>44746</v>
      </c>
      <c r="H9" s="15">
        <v>3</v>
      </c>
      <c r="I9" s="61">
        <v>76.209999999999994</v>
      </c>
      <c r="J9" s="65">
        <v>20.161375661375661</v>
      </c>
    </row>
    <row r="10" spans="1:10" ht="30" customHeight="1">
      <c r="A10" s="12" t="s">
        <v>52</v>
      </c>
      <c r="B10" s="12" t="s">
        <v>53</v>
      </c>
      <c r="C10" s="12" t="s">
        <v>23</v>
      </c>
      <c r="D10" s="12" t="s">
        <v>50</v>
      </c>
      <c r="E10" s="12" t="s">
        <v>37</v>
      </c>
      <c r="F10" s="14">
        <v>44739</v>
      </c>
      <c r="G10" s="14">
        <v>44754</v>
      </c>
      <c r="H10" s="15">
        <v>5</v>
      </c>
      <c r="I10" s="61">
        <v>45729.58</v>
      </c>
      <c r="J10" s="65">
        <v>12097.772486772488</v>
      </c>
    </row>
    <row r="11" spans="1:10" ht="30" customHeight="1">
      <c r="A11" s="12" t="s">
        <v>55</v>
      </c>
      <c r="B11" s="12" t="s">
        <v>53</v>
      </c>
      <c r="C11" s="12" t="s">
        <v>23</v>
      </c>
      <c r="D11" s="12" t="s">
        <v>50</v>
      </c>
      <c r="E11" s="12" t="s">
        <v>37</v>
      </c>
      <c r="F11" s="14">
        <v>44739</v>
      </c>
      <c r="G11" s="14">
        <v>44754</v>
      </c>
      <c r="H11" s="15">
        <v>18</v>
      </c>
      <c r="I11" s="61">
        <v>125075.55</v>
      </c>
      <c r="J11" s="65">
        <v>33088.769841269845</v>
      </c>
    </row>
    <row r="12" spans="1:10" ht="30" customHeight="1">
      <c r="A12" s="12" t="s">
        <v>57</v>
      </c>
      <c r="B12" s="12" t="s">
        <v>53</v>
      </c>
      <c r="C12" s="12" t="s">
        <v>23</v>
      </c>
      <c r="D12" s="12" t="s">
        <v>50</v>
      </c>
      <c r="E12" s="12" t="s">
        <v>37</v>
      </c>
      <c r="F12" s="14">
        <v>44739</v>
      </c>
      <c r="G12" s="14">
        <v>44754</v>
      </c>
      <c r="H12" s="15">
        <v>1</v>
      </c>
      <c r="I12" s="61">
        <v>180.41</v>
      </c>
      <c r="J12" s="65">
        <v>47.727513227513228</v>
      </c>
    </row>
    <row r="13" spans="1:10" ht="30" customHeight="1">
      <c r="A13" s="12" t="s">
        <v>59</v>
      </c>
      <c r="B13" s="12" t="s">
        <v>53</v>
      </c>
      <c r="C13" s="12" t="s">
        <v>23</v>
      </c>
      <c r="D13" s="12" t="s">
        <v>50</v>
      </c>
      <c r="E13" s="12" t="s">
        <v>37</v>
      </c>
      <c r="F13" s="14">
        <v>44739</v>
      </c>
      <c r="G13" s="14">
        <v>44754</v>
      </c>
      <c r="H13" s="15">
        <v>2</v>
      </c>
      <c r="I13" s="61">
        <v>1026.51</v>
      </c>
      <c r="J13" s="65">
        <v>271.56349206349205</v>
      </c>
    </row>
    <row r="14" spans="1:10" ht="30" customHeight="1">
      <c r="A14" s="12" t="s">
        <v>61</v>
      </c>
      <c r="B14" s="12" t="s">
        <v>53</v>
      </c>
      <c r="C14" s="12" t="s">
        <v>23</v>
      </c>
      <c r="D14" s="12" t="s">
        <v>50</v>
      </c>
      <c r="E14" s="12" t="s">
        <v>37</v>
      </c>
      <c r="F14" s="14">
        <v>44739</v>
      </c>
      <c r="G14" s="14">
        <v>44754</v>
      </c>
      <c r="H14" s="15">
        <v>7</v>
      </c>
      <c r="I14" s="61">
        <v>14383.83</v>
      </c>
      <c r="J14" s="65">
        <v>3805.2460317460318</v>
      </c>
    </row>
    <row r="15" spans="1:10" ht="30" customHeight="1">
      <c r="A15" s="12" t="s">
        <v>63</v>
      </c>
      <c r="B15" s="12" t="s">
        <v>64</v>
      </c>
      <c r="C15" s="12" t="s">
        <v>23</v>
      </c>
      <c r="D15" s="12" t="s">
        <v>50</v>
      </c>
      <c r="E15" s="12" t="s">
        <v>65</v>
      </c>
      <c r="F15" s="14">
        <v>44746</v>
      </c>
      <c r="G15" s="14">
        <v>44762</v>
      </c>
      <c r="H15" s="15">
        <v>33</v>
      </c>
      <c r="I15" s="61">
        <v>137219.24</v>
      </c>
      <c r="J15" s="65">
        <v>36301.386243386245</v>
      </c>
    </row>
    <row r="16" spans="1:10" ht="30" customHeight="1">
      <c r="A16" s="12" t="s">
        <v>67</v>
      </c>
      <c r="B16" s="12" t="s">
        <v>68</v>
      </c>
      <c r="C16" s="12" t="s">
        <v>23</v>
      </c>
      <c r="D16" s="12" t="s">
        <v>50</v>
      </c>
      <c r="E16" s="12" t="s">
        <v>69</v>
      </c>
      <c r="F16" s="14">
        <v>44750</v>
      </c>
      <c r="G16" s="14">
        <v>44764</v>
      </c>
      <c r="H16" s="15">
        <v>4</v>
      </c>
      <c r="I16" s="61">
        <v>3653.58</v>
      </c>
      <c r="J16" s="65">
        <v>966.55555555555554</v>
      </c>
    </row>
    <row r="17" spans="1:10" ht="30" customHeight="1">
      <c r="A17" s="12" t="s">
        <v>71</v>
      </c>
      <c r="B17" s="12" t="s">
        <v>72</v>
      </c>
      <c r="C17" s="12" t="s">
        <v>23</v>
      </c>
      <c r="D17" s="12" t="s">
        <v>24</v>
      </c>
      <c r="E17" s="12" t="s">
        <v>69</v>
      </c>
      <c r="F17" s="14">
        <v>44757</v>
      </c>
      <c r="G17" s="14">
        <v>44775</v>
      </c>
      <c r="H17" s="15">
        <v>13</v>
      </c>
      <c r="I17" s="61">
        <v>751.78</v>
      </c>
      <c r="J17" s="65">
        <v>198.8835978835979</v>
      </c>
    </row>
    <row r="18" spans="1:10" ht="30" customHeight="1">
      <c r="A18" s="12" t="s">
        <v>74</v>
      </c>
      <c r="B18" s="12" t="s">
        <v>68</v>
      </c>
      <c r="C18" s="12" t="s">
        <v>23</v>
      </c>
      <c r="D18" s="12" t="s">
        <v>50</v>
      </c>
      <c r="E18" s="12" t="s">
        <v>69</v>
      </c>
      <c r="F18" s="14">
        <v>44750</v>
      </c>
      <c r="G18" s="14">
        <v>44764</v>
      </c>
      <c r="H18" s="15">
        <v>1</v>
      </c>
      <c r="I18" s="61">
        <v>793.66</v>
      </c>
      <c r="J18" s="65">
        <v>209.96296296296296</v>
      </c>
    </row>
    <row r="19" spans="1:10" ht="30" customHeight="1">
      <c r="A19" s="12" t="s">
        <v>76</v>
      </c>
      <c r="B19" s="12" t="s">
        <v>77</v>
      </c>
      <c r="C19" s="12" t="s">
        <v>23</v>
      </c>
      <c r="D19" s="12" t="s">
        <v>24</v>
      </c>
      <c r="E19" s="12" t="s">
        <v>30</v>
      </c>
      <c r="F19" s="14">
        <v>44760</v>
      </c>
      <c r="G19" s="14">
        <v>44781</v>
      </c>
      <c r="H19" s="15">
        <v>2</v>
      </c>
      <c r="I19" s="61">
        <v>1602</v>
      </c>
      <c r="J19" s="65">
        <v>423.80952380952385</v>
      </c>
    </row>
    <row r="20" spans="1:10" ht="30" customHeight="1">
      <c r="A20" s="12" t="s">
        <v>79</v>
      </c>
      <c r="B20" s="12" t="s">
        <v>80</v>
      </c>
      <c r="C20" s="12" t="s">
        <v>23</v>
      </c>
      <c r="D20" s="12" t="s">
        <v>81</v>
      </c>
      <c r="E20" s="12" t="s">
        <v>30</v>
      </c>
      <c r="F20" s="14">
        <v>44783</v>
      </c>
      <c r="G20" s="14">
        <v>44790</v>
      </c>
      <c r="H20" s="15">
        <v>5</v>
      </c>
      <c r="I20" s="61">
        <v>1848</v>
      </c>
      <c r="J20" s="65">
        <v>488.88888888888891</v>
      </c>
    </row>
    <row r="21" spans="1:10" ht="30" customHeight="1">
      <c r="A21" s="12" t="s">
        <v>83</v>
      </c>
      <c r="B21" s="12" t="s">
        <v>68</v>
      </c>
      <c r="C21" s="12" t="s">
        <v>23</v>
      </c>
      <c r="D21" s="12" t="s">
        <v>50</v>
      </c>
      <c r="E21" s="12" t="s">
        <v>69</v>
      </c>
      <c r="F21" s="14">
        <v>44750</v>
      </c>
      <c r="G21" s="14">
        <v>44764</v>
      </c>
      <c r="H21" s="15">
        <v>1</v>
      </c>
      <c r="I21" s="61">
        <v>7857.74</v>
      </c>
      <c r="J21" s="65">
        <v>2078.767195767196</v>
      </c>
    </row>
    <row r="22" spans="1:10" ht="30" customHeight="1">
      <c r="A22" s="12" t="s">
        <v>85</v>
      </c>
      <c r="B22" s="12" t="s">
        <v>68</v>
      </c>
      <c r="C22" s="12" t="s">
        <v>23</v>
      </c>
      <c r="D22" s="12" t="s">
        <v>50</v>
      </c>
      <c r="E22" s="12" t="s">
        <v>69</v>
      </c>
      <c r="F22" s="14">
        <v>44750</v>
      </c>
      <c r="G22" s="14">
        <v>44764</v>
      </c>
      <c r="H22" s="15">
        <v>2</v>
      </c>
      <c r="I22" s="61">
        <v>1003.9</v>
      </c>
      <c r="J22" s="65">
        <v>265.58201058201058</v>
      </c>
    </row>
    <row r="23" spans="1:10" ht="30" customHeight="1">
      <c r="A23" s="12" t="s">
        <v>87</v>
      </c>
      <c r="B23" s="12" t="s">
        <v>68</v>
      </c>
      <c r="C23" s="12" t="s">
        <v>23</v>
      </c>
      <c r="D23" s="12" t="s">
        <v>50</v>
      </c>
      <c r="E23" s="12" t="s">
        <v>69</v>
      </c>
      <c r="F23" s="14">
        <v>44750</v>
      </c>
      <c r="G23" s="14">
        <v>44764</v>
      </c>
      <c r="H23" s="15">
        <v>3</v>
      </c>
      <c r="I23" s="61">
        <v>612.21</v>
      </c>
      <c r="J23" s="65">
        <v>161.96031746031747</v>
      </c>
    </row>
    <row r="24" spans="1:10" ht="30" customHeight="1">
      <c r="A24" s="12" t="s">
        <v>89</v>
      </c>
      <c r="B24" s="12" t="s">
        <v>68</v>
      </c>
      <c r="C24" s="12" t="s">
        <v>23</v>
      </c>
      <c r="D24" s="12" t="s">
        <v>50</v>
      </c>
      <c r="E24" s="12" t="s">
        <v>69</v>
      </c>
      <c r="F24" s="14">
        <v>44750</v>
      </c>
      <c r="G24" s="14">
        <v>44764</v>
      </c>
      <c r="H24" s="15">
        <v>1</v>
      </c>
      <c r="I24" s="61">
        <v>185.27</v>
      </c>
      <c r="J24" s="65">
        <v>49.01322751322752</v>
      </c>
    </row>
    <row r="25" spans="1:10" ht="30" customHeight="1">
      <c r="A25" s="12" t="s">
        <v>91</v>
      </c>
      <c r="B25" s="12" t="s">
        <v>68</v>
      </c>
      <c r="C25" s="12" t="s">
        <v>23</v>
      </c>
      <c r="D25" s="12" t="s">
        <v>50</v>
      </c>
      <c r="E25" s="12" t="s">
        <v>69</v>
      </c>
      <c r="F25" s="14">
        <v>44750</v>
      </c>
      <c r="G25" s="14">
        <v>44764</v>
      </c>
      <c r="H25" s="15">
        <v>2</v>
      </c>
      <c r="I25" s="61">
        <v>1156.7</v>
      </c>
      <c r="J25" s="65">
        <v>306.00529100529104</v>
      </c>
    </row>
    <row r="26" spans="1:10" ht="30" customHeight="1">
      <c r="A26" s="12" t="s">
        <v>93</v>
      </c>
      <c r="B26" s="12" t="s">
        <v>68</v>
      </c>
      <c r="C26" s="12" t="s">
        <v>23</v>
      </c>
      <c r="D26" s="12" t="s">
        <v>50</v>
      </c>
      <c r="E26" s="12" t="s">
        <v>69</v>
      </c>
      <c r="F26" s="14">
        <v>44750</v>
      </c>
      <c r="G26" s="14">
        <v>44764</v>
      </c>
      <c r="H26" s="15">
        <v>1</v>
      </c>
      <c r="I26" s="61">
        <v>578.35</v>
      </c>
      <c r="J26" s="65">
        <v>153.00264550264552</v>
      </c>
    </row>
    <row r="27" spans="1:10" ht="30" customHeight="1">
      <c r="A27" s="12" t="s">
        <v>95</v>
      </c>
      <c r="B27" s="12" t="s">
        <v>68</v>
      </c>
      <c r="C27" s="12" t="s">
        <v>23</v>
      </c>
      <c r="D27" s="12" t="s">
        <v>50</v>
      </c>
      <c r="E27" s="12" t="s">
        <v>69</v>
      </c>
      <c r="F27" s="14">
        <v>44750</v>
      </c>
      <c r="G27" s="14">
        <v>44764</v>
      </c>
      <c r="H27" s="15">
        <v>1</v>
      </c>
      <c r="I27" s="61">
        <v>654.75</v>
      </c>
      <c r="J27" s="65">
        <v>173.21428571428572</v>
      </c>
    </row>
    <row r="28" spans="1:10" ht="30" customHeight="1">
      <c r="A28" s="12" t="s">
        <v>97</v>
      </c>
      <c r="B28" s="12" t="s">
        <v>68</v>
      </c>
      <c r="C28" s="12" t="s">
        <v>23</v>
      </c>
      <c r="D28" s="12" t="s">
        <v>50</v>
      </c>
      <c r="E28" s="12" t="s">
        <v>69</v>
      </c>
      <c r="F28" s="14">
        <v>44750</v>
      </c>
      <c r="G28" s="14">
        <v>44764</v>
      </c>
      <c r="H28" s="15">
        <v>1</v>
      </c>
      <c r="I28" s="61">
        <v>578.35</v>
      </c>
      <c r="J28" s="65">
        <v>153.00264550264552</v>
      </c>
    </row>
    <row r="29" spans="1:10" ht="30" customHeight="1">
      <c r="A29" s="12" t="s">
        <v>99</v>
      </c>
      <c r="B29" s="12" t="s">
        <v>68</v>
      </c>
      <c r="C29" s="12" t="s">
        <v>23</v>
      </c>
      <c r="D29" s="12" t="s">
        <v>50</v>
      </c>
      <c r="E29" s="12" t="s">
        <v>69</v>
      </c>
      <c r="F29" s="14">
        <v>44750</v>
      </c>
      <c r="G29" s="14">
        <v>44764</v>
      </c>
      <c r="H29" s="15">
        <v>1</v>
      </c>
      <c r="I29" s="61">
        <v>501.95</v>
      </c>
      <c r="J29" s="65">
        <v>132.79100529100529</v>
      </c>
    </row>
    <row r="30" spans="1:10" ht="30" customHeight="1">
      <c r="A30" s="12" t="s">
        <v>101</v>
      </c>
      <c r="B30" s="12" t="s">
        <v>102</v>
      </c>
      <c r="C30" s="12" t="s">
        <v>23</v>
      </c>
      <c r="D30" s="12" t="s">
        <v>24</v>
      </c>
      <c r="E30" s="12" t="s">
        <v>103</v>
      </c>
      <c r="F30" s="14">
        <v>44746</v>
      </c>
      <c r="G30" s="14">
        <v>44845</v>
      </c>
      <c r="H30" s="15">
        <v>12</v>
      </c>
      <c r="I30" s="61">
        <v>61343.59</v>
      </c>
      <c r="J30" s="65">
        <v>16228.462962962964</v>
      </c>
    </row>
    <row r="31" spans="1:10" ht="30" customHeight="1">
      <c r="A31" s="12" t="s">
        <v>105</v>
      </c>
      <c r="B31" s="12" t="s">
        <v>106</v>
      </c>
      <c r="C31" s="12" t="s">
        <v>23</v>
      </c>
      <c r="D31" s="12" t="s">
        <v>24</v>
      </c>
      <c r="E31" s="12" t="s">
        <v>107</v>
      </c>
      <c r="F31" s="14">
        <v>44764</v>
      </c>
      <c r="G31" s="14">
        <v>44799</v>
      </c>
      <c r="H31" s="15">
        <v>57</v>
      </c>
      <c r="I31" s="61">
        <v>227937.82</v>
      </c>
      <c r="J31" s="65">
        <v>60301.010582010589</v>
      </c>
    </row>
    <row r="32" spans="1:10" ht="30" customHeight="1">
      <c r="A32" s="12" t="s">
        <v>109</v>
      </c>
      <c r="B32" s="12" t="s">
        <v>110</v>
      </c>
      <c r="C32" s="12" t="s">
        <v>23</v>
      </c>
      <c r="D32" s="12" t="s">
        <v>50</v>
      </c>
      <c r="E32" s="12" t="s">
        <v>107</v>
      </c>
      <c r="F32" s="14">
        <v>44764</v>
      </c>
      <c r="G32" s="14">
        <v>44783</v>
      </c>
      <c r="H32" s="15">
        <v>4</v>
      </c>
      <c r="I32" s="61">
        <v>11060.17</v>
      </c>
      <c r="J32" s="65">
        <v>2925.9708994708994</v>
      </c>
    </row>
    <row r="33" spans="1:10" ht="30" customHeight="1">
      <c r="A33" s="12" t="s">
        <v>112</v>
      </c>
      <c r="B33" s="12" t="s">
        <v>102</v>
      </c>
      <c r="C33" s="12" t="s">
        <v>23</v>
      </c>
      <c r="D33" s="12" t="s">
        <v>24</v>
      </c>
      <c r="E33" s="12" t="s">
        <v>103</v>
      </c>
      <c r="F33" s="14">
        <v>44740</v>
      </c>
      <c r="G33" s="14">
        <v>44889</v>
      </c>
      <c r="H33" s="15">
        <v>3</v>
      </c>
      <c r="I33" s="61">
        <v>7840.86</v>
      </c>
      <c r="J33" s="65">
        <v>2074.3015873015875</v>
      </c>
    </row>
    <row r="34" spans="1:10" ht="30" customHeight="1">
      <c r="A34" s="12" t="s">
        <v>114</v>
      </c>
      <c r="B34" s="12" t="s">
        <v>102</v>
      </c>
      <c r="C34" s="12" t="s">
        <v>23</v>
      </c>
      <c r="D34" s="12" t="s">
        <v>24</v>
      </c>
      <c r="E34" s="12" t="s">
        <v>103</v>
      </c>
      <c r="F34" s="14">
        <v>44740</v>
      </c>
      <c r="G34" s="14">
        <v>44889</v>
      </c>
      <c r="H34" s="15">
        <v>17</v>
      </c>
      <c r="I34" s="61">
        <v>25027.47</v>
      </c>
      <c r="J34" s="65">
        <v>6621.0238095238101</v>
      </c>
    </row>
    <row r="35" spans="1:10" ht="30" customHeight="1">
      <c r="A35" s="12" t="s">
        <v>116</v>
      </c>
      <c r="B35" s="12" t="s">
        <v>102</v>
      </c>
      <c r="C35" s="12" t="s">
        <v>23</v>
      </c>
      <c r="D35" s="12" t="s">
        <v>24</v>
      </c>
      <c r="E35" s="12" t="s">
        <v>103</v>
      </c>
      <c r="F35" s="14">
        <v>44740</v>
      </c>
      <c r="G35" s="14">
        <v>44889</v>
      </c>
      <c r="H35" s="15">
        <v>3</v>
      </c>
      <c r="I35" s="61">
        <v>7840.86</v>
      </c>
      <c r="J35" s="65">
        <v>2074.3015873015875</v>
      </c>
    </row>
    <row r="36" spans="1:10" ht="30" customHeight="1">
      <c r="A36" s="12" t="s">
        <v>118</v>
      </c>
      <c r="B36" s="12" t="s">
        <v>102</v>
      </c>
      <c r="C36" s="12" t="s">
        <v>23</v>
      </c>
      <c r="D36" s="12" t="s">
        <v>24</v>
      </c>
      <c r="E36" s="12" t="s">
        <v>103</v>
      </c>
      <c r="F36" s="14">
        <v>44740</v>
      </c>
      <c r="G36" s="14">
        <v>44889</v>
      </c>
      <c r="H36" s="15">
        <v>4</v>
      </c>
      <c r="I36" s="61">
        <v>10454.48</v>
      </c>
      <c r="J36" s="65">
        <v>2765.7354497354499</v>
      </c>
    </row>
    <row r="37" spans="1:10" ht="30" customHeight="1">
      <c r="A37" s="12" t="s">
        <v>120</v>
      </c>
      <c r="B37" s="12" t="s">
        <v>121</v>
      </c>
      <c r="C37" s="12" t="s">
        <v>23</v>
      </c>
      <c r="D37" s="12" t="s">
        <v>24</v>
      </c>
      <c r="E37" s="12" t="s">
        <v>103</v>
      </c>
      <c r="F37" s="14">
        <v>44742</v>
      </c>
      <c r="G37" s="14">
        <v>44769</v>
      </c>
      <c r="H37" s="15">
        <v>10</v>
      </c>
      <c r="I37" s="61">
        <v>192.09</v>
      </c>
      <c r="J37" s="65">
        <v>50.817460317460323</v>
      </c>
    </row>
    <row r="38" spans="1:10" ht="30" customHeight="1">
      <c r="A38" s="12" t="s">
        <v>123</v>
      </c>
      <c r="B38" s="12" t="s">
        <v>53</v>
      </c>
      <c r="C38" s="12" t="s">
        <v>23</v>
      </c>
      <c r="D38" s="12" t="s">
        <v>50</v>
      </c>
      <c r="E38" s="12" t="s">
        <v>37</v>
      </c>
      <c r="F38" s="14">
        <v>44742</v>
      </c>
      <c r="G38" s="14">
        <v>44754</v>
      </c>
      <c r="H38" s="15">
        <v>6</v>
      </c>
      <c r="I38" s="61">
        <v>12329</v>
      </c>
      <c r="J38" s="65">
        <v>3261.6402116402119</v>
      </c>
    </row>
    <row r="39" spans="1:10" ht="30" customHeight="1">
      <c r="A39" s="12" t="s">
        <v>125</v>
      </c>
      <c r="B39" s="12" t="s">
        <v>126</v>
      </c>
      <c r="C39" s="12" t="s">
        <v>23</v>
      </c>
      <c r="D39" s="12" t="s">
        <v>50</v>
      </c>
      <c r="E39" s="12" t="s">
        <v>127</v>
      </c>
      <c r="F39" s="14">
        <v>44762</v>
      </c>
      <c r="G39" s="14">
        <v>44795</v>
      </c>
      <c r="H39" s="15">
        <v>1</v>
      </c>
      <c r="I39" s="61">
        <v>409.93</v>
      </c>
      <c r="J39" s="65">
        <v>108.44708994708995</v>
      </c>
    </row>
    <row r="40" spans="1:10" ht="30" customHeight="1">
      <c r="A40" s="12" t="s">
        <v>129</v>
      </c>
      <c r="B40" s="12" t="s">
        <v>126</v>
      </c>
      <c r="C40" s="12" t="s">
        <v>23</v>
      </c>
      <c r="D40" s="12" t="s">
        <v>50</v>
      </c>
      <c r="E40" s="12" t="s">
        <v>127</v>
      </c>
      <c r="F40" s="14">
        <v>44762</v>
      </c>
      <c r="G40" s="14">
        <v>44795</v>
      </c>
      <c r="H40" s="15">
        <v>1</v>
      </c>
      <c r="I40" s="61">
        <v>409.93</v>
      </c>
      <c r="J40" s="65">
        <v>108.44708994708995</v>
      </c>
    </row>
    <row r="41" spans="1:10" ht="30" customHeight="1">
      <c r="A41" s="12" t="s">
        <v>131</v>
      </c>
      <c r="B41" s="12" t="s">
        <v>126</v>
      </c>
      <c r="C41" s="12" t="s">
        <v>23</v>
      </c>
      <c r="D41" s="12" t="s">
        <v>50</v>
      </c>
      <c r="E41" s="12" t="s">
        <v>127</v>
      </c>
      <c r="F41" s="14">
        <v>44762</v>
      </c>
      <c r="G41" s="14">
        <v>44795</v>
      </c>
      <c r="H41" s="15">
        <v>1</v>
      </c>
      <c r="I41" s="61">
        <v>409.93</v>
      </c>
      <c r="J41" s="65">
        <v>108.44708994708995</v>
      </c>
    </row>
    <row r="42" spans="1:10" ht="30" customHeight="1">
      <c r="A42" s="12" t="s">
        <v>133</v>
      </c>
      <c r="B42" s="12" t="s">
        <v>126</v>
      </c>
      <c r="C42" s="12" t="s">
        <v>23</v>
      </c>
      <c r="D42" s="12" t="s">
        <v>50</v>
      </c>
      <c r="E42" s="12" t="s">
        <v>127</v>
      </c>
      <c r="F42" s="14">
        <v>44762</v>
      </c>
      <c r="G42" s="14">
        <v>44795</v>
      </c>
      <c r="H42" s="15">
        <v>20</v>
      </c>
      <c r="I42" s="61">
        <v>77871.31</v>
      </c>
      <c r="J42" s="65">
        <v>20600.875661375663</v>
      </c>
    </row>
    <row r="43" spans="1:10" ht="30" customHeight="1">
      <c r="A43" s="12" t="s">
        <v>135</v>
      </c>
      <c r="B43" s="12" t="s">
        <v>126</v>
      </c>
      <c r="C43" s="12" t="s">
        <v>23</v>
      </c>
      <c r="D43" s="12" t="s">
        <v>50</v>
      </c>
      <c r="E43" s="12" t="s">
        <v>127</v>
      </c>
      <c r="F43" s="14">
        <v>44762</v>
      </c>
      <c r="G43" s="14">
        <v>44795</v>
      </c>
      <c r="H43" s="15">
        <v>3</v>
      </c>
      <c r="I43" s="61">
        <v>435.42</v>
      </c>
      <c r="J43" s="65">
        <v>115.1904761904762</v>
      </c>
    </row>
    <row r="44" spans="1:10" ht="30" customHeight="1">
      <c r="A44" s="12" t="s">
        <v>137</v>
      </c>
      <c r="B44" s="12" t="s">
        <v>126</v>
      </c>
      <c r="C44" s="12" t="s">
        <v>23</v>
      </c>
      <c r="D44" s="12" t="s">
        <v>50</v>
      </c>
      <c r="E44" s="12" t="s">
        <v>127</v>
      </c>
      <c r="F44" s="14">
        <v>44762</v>
      </c>
      <c r="G44" s="14">
        <v>44795</v>
      </c>
      <c r="H44" s="15">
        <v>1</v>
      </c>
      <c r="I44" s="61">
        <v>409.93</v>
      </c>
      <c r="J44" s="65">
        <v>108.44708994708995</v>
      </c>
    </row>
    <row r="45" spans="1:10" ht="30" customHeight="1">
      <c r="A45" s="12" t="s">
        <v>139</v>
      </c>
      <c r="B45" s="12" t="s">
        <v>126</v>
      </c>
      <c r="C45" s="12" t="s">
        <v>23</v>
      </c>
      <c r="D45" s="12" t="s">
        <v>50</v>
      </c>
      <c r="E45" s="12" t="s">
        <v>127</v>
      </c>
      <c r="F45" s="14">
        <v>44762</v>
      </c>
      <c r="G45" s="14">
        <v>44795</v>
      </c>
      <c r="H45" s="15">
        <v>30</v>
      </c>
      <c r="I45" s="61">
        <v>1025697.86</v>
      </c>
      <c r="J45" s="65">
        <v>271348.64021164022</v>
      </c>
    </row>
    <row r="46" spans="1:10" ht="30" customHeight="1">
      <c r="A46" s="12" t="s">
        <v>141</v>
      </c>
      <c r="B46" s="12" t="s">
        <v>142</v>
      </c>
      <c r="C46" s="12" t="s">
        <v>23</v>
      </c>
      <c r="D46" s="12" t="s">
        <v>24</v>
      </c>
      <c r="E46" s="12" t="s">
        <v>143</v>
      </c>
      <c r="F46" s="14">
        <v>44764</v>
      </c>
      <c r="G46" s="14">
        <v>44796</v>
      </c>
      <c r="H46" s="15">
        <v>33</v>
      </c>
      <c r="I46" s="61">
        <v>10366.58</v>
      </c>
      <c r="J46" s="65">
        <v>2742.4814814814818</v>
      </c>
    </row>
    <row r="47" spans="1:10" ht="30" customHeight="1">
      <c r="A47" s="12" t="s">
        <v>145</v>
      </c>
      <c r="B47" s="12" t="s">
        <v>146</v>
      </c>
      <c r="C47" s="12" t="s">
        <v>23</v>
      </c>
      <c r="D47" s="12" t="s">
        <v>24</v>
      </c>
      <c r="E47" s="12" t="s">
        <v>147</v>
      </c>
      <c r="F47" s="14">
        <v>44777</v>
      </c>
      <c r="G47" s="14">
        <v>44830</v>
      </c>
      <c r="H47" s="15">
        <v>105</v>
      </c>
      <c r="I47" s="61">
        <v>108604.4</v>
      </c>
      <c r="J47" s="65">
        <v>28731.32275132275</v>
      </c>
    </row>
    <row r="48" spans="1:10" ht="30" customHeight="1">
      <c r="A48" s="12" t="s">
        <v>150</v>
      </c>
      <c r="B48" s="12" t="s">
        <v>151</v>
      </c>
      <c r="C48" s="12" t="s">
        <v>23</v>
      </c>
      <c r="D48" s="12" t="s">
        <v>81</v>
      </c>
      <c r="E48" s="12" t="s">
        <v>152</v>
      </c>
      <c r="F48" s="14">
        <v>44776</v>
      </c>
      <c r="G48" s="14">
        <v>44783</v>
      </c>
      <c r="H48" s="15">
        <v>2</v>
      </c>
      <c r="I48" s="61">
        <v>413.7</v>
      </c>
      <c r="J48" s="65">
        <v>109.44444444444444</v>
      </c>
    </row>
    <row r="49" spans="1:10" ht="30" customHeight="1">
      <c r="A49" s="12" t="s">
        <v>154</v>
      </c>
      <c r="B49" s="12" t="s">
        <v>155</v>
      </c>
      <c r="C49" s="12" t="s">
        <v>23</v>
      </c>
      <c r="D49" s="12" t="s">
        <v>81</v>
      </c>
      <c r="E49" s="12" t="s">
        <v>152</v>
      </c>
      <c r="F49" s="14">
        <v>44775</v>
      </c>
      <c r="G49" s="14">
        <v>44868</v>
      </c>
      <c r="H49" s="15">
        <v>8</v>
      </c>
      <c r="I49" s="61">
        <v>811846.75</v>
      </c>
      <c r="J49" s="65">
        <v>214774.2724867725</v>
      </c>
    </row>
    <row r="50" spans="1:10" ht="30" customHeight="1">
      <c r="A50" s="12" t="s">
        <v>157</v>
      </c>
      <c r="B50" s="12" t="s">
        <v>158</v>
      </c>
      <c r="C50" s="12" t="s">
        <v>23</v>
      </c>
      <c r="D50" s="12" t="s">
        <v>50</v>
      </c>
      <c r="E50" s="12" t="s">
        <v>159</v>
      </c>
      <c r="F50" s="14">
        <v>44764</v>
      </c>
      <c r="G50" s="14">
        <v>44804</v>
      </c>
      <c r="H50" s="15">
        <v>20</v>
      </c>
      <c r="I50" s="61">
        <v>19622.05</v>
      </c>
      <c r="J50" s="65">
        <v>5191.0185185185182</v>
      </c>
    </row>
    <row r="51" spans="1:10" ht="30" customHeight="1">
      <c r="A51" s="12" t="s">
        <v>161</v>
      </c>
      <c r="B51" s="12" t="s">
        <v>162</v>
      </c>
      <c r="C51" s="12" t="s">
        <v>23</v>
      </c>
      <c r="D51" s="12" t="s">
        <v>24</v>
      </c>
      <c r="E51" s="12" t="s">
        <v>163</v>
      </c>
      <c r="F51" s="14">
        <v>44769</v>
      </c>
      <c r="G51" s="14">
        <v>44791</v>
      </c>
      <c r="H51" s="15">
        <v>35</v>
      </c>
      <c r="I51" s="61">
        <v>36484.31</v>
      </c>
      <c r="J51" s="65">
        <v>9651.9338624338616</v>
      </c>
    </row>
    <row r="52" spans="1:10" ht="30" customHeight="1">
      <c r="A52" s="12" t="s">
        <v>165</v>
      </c>
      <c r="B52" s="12" t="s">
        <v>166</v>
      </c>
      <c r="C52" s="12" t="s">
        <v>23</v>
      </c>
      <c r="D52" s="12" t="s">
        <v>81</v>
      </c>
      <c r="E52" s="12" t="s">
        <v>163</v>
      </c>
      <c r="F52" s="14">
        <v>44777</v>
      </c>
      <c r="G52" s="14">
        <v>44789</v>
      </c>
      <c r="H52" s="15">
        <v>2</v>
      </c>
      <c r="I52" s="61">
        <v>93.48</v>
      </c>
      <c r="J52" s="65">
        <v>24.730158730158731</v>
      </c>
    </row>
    <row r="53" spans="1:10" ht="30" customHeight="1">
      <c r="A53" s="12" t="s">
        <v>168</v>
      </c>
      <c r="B53" s="12" t="s">
        <v>169</v>
      </c>
      <c r="C53" s="12" t="s">
        <v>23</v>
      </c>
      <c r="D53" s="12" t="s">
        <v>24</v>
      </c>
      <c r="E53" s="12" t="s">
        <v>25</v>
      </c>
      <c r="F53" s="14">
        <v>44791</v>
      </c>
      <c r="G53" s="14">
        <v>44809</v>
      </c>
      <c r="H53" s="15">
        <v>27</v>
      </c>
      <c r="I53" s="61">
        <v>19615.22</v>
      </c>
      <c r="J53" s="65">
        <v>5189.2116402116408</v>
      </c>
    </row>
    <row r="54" spans="1:10" ht="30" customHeight="1">
      <c r="A54" s="12" t="s">
        <v>171</v>
      </c>
      <c r="B54" s="12" t="s">
        <v>172</v>
      </c>
      <c r="C54" s="12" t="s">
        <v>23</v>
      </c>
      <c r="D54" s="12" t="s">
        <v>50</v>
      </c>
      <c r="E54" s="12" t="s">
        <v>173</v>
      </c>
      <c r="F54" s="14">
        <v>44796</v>
      </c>
      <c r="G54" s="14">
        <v>44844</v>
      </c>
      <c r="H54" s="15">
        <v>5</v>
      </c>
      <c r="I54" s="61">
        <v>24856.87</v>
      </c>
      <c r="J54" s="65">
        <v>6575.8915343915342</v>
      </c>
    </row>
    <row r="55" spans="1:10" ht="30" customHeight="1">
      <c r="A55" s="12" t="s">
        <v>175</v>
      </c>
      <c r="B55" s="12" t="s">
        <v>172</v>
      </c>
      <c r="C55" s="12" t="s">
        <v>23</v>
      </c>
      <c r="D55" s="12" t="s">
        <v>50</v>
      </c>
      <c r="E55" s="12" t="s">
        <v>173</v>
      </c>
      <c r="F55" s="14">
        <v>44796</v>
      </c>
      <c r="G55" s="14">
        <v>44813</v>
      </c>
      <c r="H55" s="15">
        <v>2</v>
      </c>
      <c r="I55" s="61">
        <v>74.989999999999995</v>
      </c>
      <c r="J55" s="65">
        <v>19.838624338624339</v>
      </c>
    </row>
    <row r="56" spans="1:10" ht="30" customHeight="1">
      <c r="A56" s="12" t="s">
        <v>177</v>
      </c>
      <c r="B56" s="12" t="s">
        <v>178</v>
      </c>
      <c r="C56" s="12" t="s">
        <v>23</v>
      </c>
      <c r="D56" s="12" t="s">
        <v>81</v>
      </c>
      <c r="E56" s="12" t="s">
        <v>159</v>
      </c>
      <c r="F56" s="14">
        <v>44789</v>
      </c>
      <c r="G56" s="14">
        <v>44806</v>
      </c>
      <c r="H56" s="15">
        <v>3</v>
      </c>
      <c r="I56" s="61">
        <v>2637.86</v>
      </c>
      <c r="J56" s="65">
        <v>697.84656084656092</v>
      </c>
    </row>
    <row r="57" spans="1:10" ht="30" customHeight="1">
      <c r="A57" s="12" t="s">
        <v>180</v>
      </c>
      <c r="B57" s="12" t="s">
        <v>181</v>
      </c>
      <c r="C57" s="12" t="s">
        <v>23</v>
      </c>
      <c r="D57" s="12" t="s">
        <v>50</v>
      </c>
      <c r="E57" s="12" t="s">
        <v>173</v>
      </c>
      <c r="F57" s="14">
        <v>44798</v>
      </c>
      <c r="G57" s="14">
        <v>44816</v>
      </c>
      <c r="H57" s="15">
        <v>12</v>
      </c>
      <c r="I57" s="61">
        <v>750.23</v>
      </c>
      <c r="J57" s="65">
        <v>198.47354497354499</v>
      </c>
    </row>
    <row r="58" spans="1:10" ht="30" customHeight="1">
      <c r="A58" s="12" t="s">
        <v>183</v>
      </c>
      <c r="B58" s="12" t="s">
        <v>184</v>
      </c>
      <c r="C58" s="12" t="s">
        <v>23</v>
      </c>
      <c r="D58" s="12" t="s">
        <v>81</v>
      </c>
      <c r="E58" s="12" t="s">
        <v>65</v>
      </c>
      <c r="F58" s="14">
        <v>44792</v>
      </c>
      <c r="G58" s="14">
        <v>44810</v>
      </c>
      <c r="H58" s="15">
        <v>7</v>
      </c>
      <c r="I58" s="61">
        <v>3804.1</v>
      </c>
      <c r="J58" s="65">
        <v>1006.3756613756614</v>
      </c>
    </row>
    <row r="59" spans="1:10" ht="30" customHeight="1">
      <c r="A59" s="12" t="s">
        <v>186</v>
      </c>
      <c r="B59" s="12" t="s">
        <v>146</v>
      </c>
      <c r="C59" s="12" t="s">
        <v>23</v>
      </c>
      <c r="D59" s="12" t="s">
        <v>24</v>
      </c>
      <c r="E59" s="12" t="s">
        <v>147</v>
      </c>
      <c r="F59" s="14">
        <v>44795</v>
      </c>
      <c r="G59" s="14">
        <v>44830</v>
      </c>
      <c r="H59" s="15">
        <v>19</v>
      </c>
      <c r="I59" s="61">
        <v>101675.59</v>
      </c>
      <c r="J59" s="65">
        <v>26898.304232804232</v>
      </c>
    </row>
    <row r="60" spans="1:10" ht="30" customHeight="1">
      <c r="A60" s="12" t="s">
        <v>188</v>
      </c>
      <c r="B60" s="12" t="s">
        <v>189</v>
      </c>
      <c r="C60" s="12" t="s">
        <v>23</v>
      </c>
      <c r="D60" s="12" t="s">
        <v>81</v>
      </c>
      <c r="E60" s="12" t="s">
        <v>173</v>
      </c>
      <c r="F60" s="14">
        <v>44806</v>
      </c>
      <c r="G60" s="14">
        <v>44846</v>
      </c>
      <c r="H60" s="15">
        <v>5</v>
      </c>
      <c r="I60" s="61">
        <v>605.74</v>
      </c>
      <c r="J60" s="65">
        <v>160.24867724867727</v>
      </c>
    </row>
    <row r="61" spans="1:10" ht="30" customHeight="1">
      <c r="A61" s="12" t="s">
        <v>191</v>
      </c>
      <c r="B61" s="12" t="s">
        <v>192</v>
      </c>
      <c r="C61" s="12" t="s">
        <v>23</v>
      </c>
      <c r="D61" s="12" t="s">
        <v>81</v>
      </c>
      <c r="E61" s="12" t="s">
        <v>173</v>
      </c>
      <c r="F61" s="14">
        <v>44806</v>
      </c>
      <c r="G61" s="14">
        <v>44834</v>
      </c>
      <c r="H61" s="15">
        <v>7</v>
      </c>
      <c r="I61" s="61">
        <v>32302.22</v>
      </c>
      <c r="J61" s="65">
        <v>8545.5608465608475</v>
      </c>
    </row>
    <row r="62" spans="1:10" ht="30" customHeight="1">
      <c r="A62" s="12" t="s">
        <v>194</v>
      </c>
      <c r="B62" s="12" t="s">
        <v>195</v>
      </c>
      <c r="C62" s="12" t="s">
        <v>23</v>
      </c>
      <c r="D62" s="12" t="s">
        <v>50</v>
      </c>
      <c r="E62" s="12" t="s">
        <v>196</v>
      </c>
      <c r="F62" s="14">
        <v>44831</v>
      </c>
      <c r="G62" s="14">
        <v>44883</v>
      </c>
      <c r="H62" s="15">
        <v>30</v>
      </c>
      <c r="I62" s="61">
        <v>865.2</v>
      </c>
      <c r="J62" s="65">
        <v>228.88888888888891</v>
      </c>
    </row>
    <row r="63" spans="1:10" ht="30" customHeight="1">
      <c r="A63" s="12" t="s">
        <v>199</v>
      </c>
      <c r="B63" s="12" t="s">
        <v>77</v>
      </c>
      <c r="C63" s="12" t="s">
        <v>23</v>
      </c>
      <c r="D63" s="12" t="s">
        <v>24</v>
      </c>
      <c r="E63" s="12" t="s">
        <v>30</v>
      </c>
      <c r="F63" s="14">
        <v>44760</v>
      </c>
      <c r="G63" s="14">
        <v>44776</v>
      </c>
      <c r="H63" s="15">
        <v>12</v>
      </c>
      <c r="I63" s="61">
        <v>4311.3</v>
      </c>
      <c r="J63" s="65">
        <v>1140.5555555555557</v>
      </c>
    </row>
    <row r="64" spans="1:10" ht="30" customHeight="1">
      <c r="A64" s="12" t="s">
        <v>201</v>
      </c>
      <c r="B64" s="12" t="s">
        <v>102</v>
      </c>
      <c r="C64" s="12" t="s">
        <v>23</v>
      </c>
      <c r="D64" s="12" t="s">
        <v>24</v>
      </c>
      <c r="E64" s="12" t="s">
        <v>103</v>
      </c>
      <c r="F64" s="14">
        <v>44746</v>
      </c>
      <c r="G64" s="14">
        <v>45075</v>
      </c>
      <c r="H64" s="12">
        <v>7</v>
      </c>
      <c r="I64" s="59"/>
      <c r="J64" s="63"/>
    </row>
    <row r="65" spans="1:10" ht="30" customHeight="1">
      <c r="A65" s="12" t="s">
        <v>203</v>
      </c>
      <c r="B65" s="12" t="s">
        <v>204</v>
      </c>
      <c r="C65" s="12" t="s">
        <v>23</v>
      </c>
      <c r="D65" s="12" t="s">
        <v>81</v>
      </c>
      <c r="E65" s="12" t="s">
        <v>30</v>
      </c>
      <c r="F65" s="14">
        <v>44782</v>
      </c>
      <c r="G65" s="14">
        <v>45275</v>
      </c>
      <c r="H65" s="12">
        <v>10</v>
      </c>
      <c r="I65" s="59"/>
      <c r="J65" s="63"/>
    </row>
    <row r="66" spans="1:10" ht="30" customHeight="1">
      <c r="A66" s="12" t="s">
        <v>206</v>
      </c>
      <c r="B66" s="12" t="s">
        <v>102</v>
      </c>
      <c r="C66" s="12" t="s">
        <v>23</v>
      </c>
      <c r="D66" s="12" t="s">
        <v>24</v>
      </c>
      <c r="E66" s="12" t="s">
        <v>103</v>
      </c>
      <c r="F66" s="14">
        <v>44740</v>
      </c>
      <c r="G66" s="14">
        <v>45075</v>
      </c>
      <c r="H66" s="12">
        <v>11</v>
      </c>
      <c r="I66" s="59"/>
      <c r="J66" s="63"/>
    </row>
    <row r="67" spans="1:10" ht="30" customHeight="1">
      <c r="A67" s="12" t="s">
        <v>208</v>
      </c>
      <c r="B67" s="12" t="s">
        <v>209</v>
      </c>
      <c r="C67" s="12" t="s">
        <v>23</v>
      </c>
      <c r="D67" s="12" t="s">
        <v>24</v>
      </c>
      <c r="E67" s="12" t="s">
        <v>148</v>
      </c>
      <c r="F67" s="14">
        <v>44782</v>
      </c>
      <c r="G67" s="14">
        <v>45068</v>
      </c>
      <c r="H67" s="12">
        <v>40</v>
      </c>
      <c r="I67" s="59"/>
      <c r="J67" s="63"/>
    </row>
    <row r="68" spans="1:10" ht="30" customHeight="1">
      <c r="A68" s="12" t="s">
        <v>211</v>
      </c>
      <c r="B68" s="12" t="s">
        <v>181</v>
      </c>
      <c r="C68" s="12" t="s">
        <v>23</v>
      </c>
      <c r="D68" s="12" t="s">
        <v>50</v>
      </c>
      <c r="E68" s="12" t="s">
        <v>173</v>
      </c>
      <c r="F68" s="14">
        <v>44798</v>
      </c>
      <c r="G68" s="14">
        <v>45086</v>
      </c>
      <c r="H68" s="12">
        <v>2</v>
      </c>
      <c r="I68" s="59"/>
      <c r="J68" s="63"/>
    </row>
    <row r="69" spans="1:10" ht="30" customHeight="1">
      <c r="A69" s="12" t="s">
        <v>213</v>
      </c>
      <c r="B69" s="12" t="s">
        <v>214</v>
      </c>
      <c r="C69" s="12" t="s">
        <v>23</v>
      </c>
      <c r="D69" s="12" t="s">
        <v>81</v>
      </c>
      <c r="E69" s="12" t="s">
        <v>163</v>
      </c>
      <c r="F69" s="14">
        <v>44789</v>
      </c>
      <c r="G69" s="14">
        <v>45075</v>
      </c>
      <c r="H69" s="12">
        <v>6</v>
      </c>
      <c r="I69" s="59"/>
      <c r="J69" s="63"/>
    </row>
    <row r="70" spans="1:10" ht="30" customHeight="1">
      <c r="A70" s="12"/>
      <c r="B70" s="12"/>
      <c r="C70" s="12"/>
      <c r="D70" s="12"/>
      <c r="E70" s="12"/>
      <c r="F70" s="14"/>
      <c r="G70" s="14"/>
      <c r="H70" s="15"/>
      <c r="I70" s="59"/>
      <c r="J70" s="63"/>
    </row>
    <row r="71" spans="1:10" ht="30" customHeight="1">
      <c r="A71" s="12"/>
      <c r="B71" s="12"/>
      <c r="C71" s="12"/>
      <c r="D71" s="12"/>
      <c r="E71" s="12"/>
      <c r="F71" s="14"/>
      <c r="G71" s="14"/>
      <c r="H71" s="15"/>
      <c r="I71" s="59"/>
      <c r="J71" s="63"/>
    </row>
    <row r="72" spans="1:10" ht="30" customHeight="1">
      <c r="A72" s="12"/>
      <c r="B72" s="12"/>
      <c r="C72" s="12"/>
      <c r="D72" s="12"/>
      <c r="E72" s="12"/>
      <c r="F72" s="14"/>
      <c r="G72" s="14"/>
      <c r="H72" s="15"/>
      <c r="I72" s="59"/>
      <c r="J72" s="63"/>
    </row>
    <row r="73" spans="1:10" ht="30" customHeight="1">
      <c r="A73" s="12"/>
      <c r="B73" s="12"/>
      <c r="C73" s="12"/>
      <c r="D73" s="12"/>
      <c r="E73" s="12"/>
      <c r="F73" s="14"/>
      <c r="G73" s="14"/>
      <c r="H73" s="15"/>
      <c r="I73" s="59"/>
      <c r="J73" s="63"/>
    </row>
    <row r="74" spans="1:10" ht="30" customHeight="1">
      <c r="A74" s="12"/>
      <c r="B74" s="12"/>
      <c r="C74" s="12"/>
      <c r="D74" s="12"/>
      <c r="E74" s="12"/>
      <c r="F74" s="14"/>
      <c r="G74" s="14"/>
      <c r="H74" s="15"/>
      <c r="I74" s="59"/>
      <c r="J74" s="63"/>
    </row>
    <row r="75" spans="1:10" ht="30" customHeight="1">
      <c r="A75" s="12"/>
      <c r="B75" s="12"/>
      <c r="C75" s="12"/>
      <c r="D75" s="12"/>
      <c r="E75" s="12"/>
      <c r="F75" s="14"/>
      <c r="G75" s="14"/>
      <c r="H75" s="15"/>
      <c r="I75" s="59"/>
      <c r="J75" s="63"/>
    </row>
    <row r="76" spans="1:10" ht="30" customHeight="1">
      <c r="A76" s="12"/>
      <c r="B76" s="12"/>
      <c r="C76" s="12"/>
      <c r="D76" s="12"/>
      <c r="E76" s="12"/>
      <c r="F76" s="14"/>
      <c r="G76" s="14"/>
      <c r="H76" s="15"/>
      <c r="I76" s="59"/>
      <c r="J76" s="63"/>
    </row>
    <row r="77" spans="1:10" ht="30" customHeight="1">
      <c r="A77" s="12"/>
      <c r="B77" s="12"/>
      <c r="C77" s="12"/>
      <c r="D77" s="12"/>
      <c r="E77" s="12"/>
      <c r="F77" s="14"/>
      <c r="G77" s="14"/>
      <c r="H77" s="15"/>
      <c r="I77" s="59"/>
      <c r="J77" s="63"/>
    </row>
    <row r="78" spans="1:10" ht="30" customHeight="1">
      <c r="A78" s="12"/>
      <c r="B78" s="12"/>
      <c r="C78" s="12"/>
      <c r="D78" s="12"/>
      <c r="E78" s="12"/>
      <c r="F78" s="14"/>
      <c r="G78" s="14"/>
      <c r="H78" s="15"/>
      <c r="I78" s="59"/>
      <c r="J78" s="63"/>
    </row>
    <row r="79" spans="1:10" ht="30" customHeight="1">
      <c r="A79" s="12"/>
      <c r="B79" s="12"/>
      <c r="C79" s="12"/>
      <c r="D79" s="12"/>
      <c r="E79" s="12"/>
      <c r="F79" s="14"/>
      <c r="G79" s="14"/>
      <c r="H79" s="15"/>
      <c r="I79" s="59"/>
      <c r="J79" s="63"/>
    </row>
    <row r="80" spans="1:10" ht="30" customHeight="1">
      <c r="A80" s="12"/>
      <c r="B80" s="12"/>
      <c r="C80" s="12"/>
      <c r="D80" s="12"/>
      <c r="E80" s="12"/>
      <c r="F80" s="14"/>
      <c r="G80" s="14"/>
      <c r="H80" s="15"/>
      <c r="I80" s="59"/>
      <c r="J80" s="63"/>
    </row>
    <row r="81" spans="1:10" ht="30" customHeight="1">
      <c r="A81" s="12"/>
      <c r="B81" s="12"/>
      <c r="C81" s="12"/>
      <c r="D81" s="12"/>
      <c r="E81" s="12"/>
      <c r="F81" s="14"/>
      <c r="G81" s="14"/>
      <c r="H81" s="15"/>
      <c r="I81" s="59"/>
      <c r="J81" s="63"/>
    </row>
    <row r="82" spans="1:10" ht="30" customHeight="1">
      <c r="A82" s="12"/>
      <c r="B82" s="12"/>
      <c r="C82" s="12"/>
      <c r="D82" s="12"/>
      <c r="E82" s="12"/>
      <c r="F82" s="14"/>
      <c r="G82" s="14"/>
      <c r="H82" s="15"/>
      <c r="I82" s="59"/>
      <c r="J82" s="63"/>
    </row>
    <row r="83" spans="1:10" ht="30" customHeight="1">
      <c r="A83" s="12"/>
      <c r="B83" s="12"/>
      <c r="C83" s="12"/>
      <c r="D83" s="12"/>
      <c r="E83" s="12"/>
      <c r="F83" s="14"/>
      <c r="G83" s="14"/>
      <c r="H83" s="15"/>
      <c r="I83" s="59"/>
      <c r="J83" s="63"/>
    </row>
    <row r="84" spans="1:10" ht="30" customHeight="1">
      <c r="A84" s="12"/>
      <c r="B84" s="12"/>
      <c r="C84" s="12"/>
      <c r="D84" s="12"/>
      <c r="E84" s="12"/>
      <c r="F84" s="14"/>
      <c r="G84" s="14"/>
      <c r="H84" s="15"/>
      <c r="I84" s="59"/>
      <c r="J84" s="63"/>
    </row>
    <row r="85" spans="1:10" ht="30" customHeight="1">
      <c r="A85" s="12"/>
      <c r="B85" s="12"/>
      <c r="C85" s="12"/>
      <c r="D85" s="12"/>
      <c r="E85" s="12"/>
      <c r="F85" s="14"/>
      <c r="G85" s="14"/>
      <c r="H85" s="15"/>
      <c r="I85" s="59"/>
      <c r="J85" s="63"/>
    </row>
    <row r="86" spans="1:10" ht="30" customHeight="1">
      <c r="A86" s="12"/>
      <c r="B86" s="12"/>
      <c r="C86" s="12"/>
      <c r="D86" s="12"/>
      <c r="E86" s="12"/>
      <c r="F86" s="14"/>
      <c r="G86" s="14"/>
      <c r="H86" s="15"/>
      <c r="I86" s="59"/>
      <c r="J86" s="63"/>
    </row>
    <row r="87" spans="1:10" ht="30" customHeight="1">
      <c r="A87" s="12"/>
      <c r="B87" s="12"/>
      <c r="C87" s="12"/>
      <c r="D87" s="12"/>
      <c r="E87" s="12"/>
      <c r="F87" s="14"/>
      <c r="G87" s="14"/>
      <c r="H87" s="15"/>
      <c r="I87" s="59"/>
      <c r="J87" s="63"/>
    </row>
    <row r="88" spans="1:10" ht="30" customHeight="1">
      <c r="A88" s="12"/>
      <c r="B88" s="12"/>
      <c r="C88" s="12"/>
      <c r="D88" s="12"/>
      <c r="E88" s="12"/>
      <c r="F88" s="14"/>
      <c r="G88" s="14"/>
      <c r="H88" s="15"/>
      <c r="I88" s="59"/>
      <c r="J88" s="63"/>
    </row>
    <row r="89" spans="1:10" ht="30" customHeight="1">
      <c r="A89" s="12"/>
      <c r="B89" s="12"/>
      <c r="C89" s="12"/>
      <c r="D89" s="12"/>
      <c r="E89" s="12"/>
      <c r="F89" s="14"/>
      <c r="G89" s="14"/>
      <c r="H89" s="15"/>
      <c r="I89" s="59"/>
      <c r="J89" s="63"/>
    </row>
    <row r="90" spans="1:10" ht="30" customHeight="1">
      <c r="A90" s="12"/>
      <c r="B90" s="12"/>
      <c r="C90" s="12"/>
      <c r="D90" s="12"/>
      <c r="E90" s="12"/>
      <c r="F90" s="14"/>
      <c r="G90" s="14"/>
      <c r="H90" s="15"/>
      <c r="I90" s="59"/>
      <c r="J90" s="63"/>
    </row>
    <row r="91" spans="1:10" ht="30" customHeight="1">
      <c r="A91" s="12"/>
      <c r="B91" s="12"/>
      <c r="C91" s="12"/>
      <c r="D91" s="12"/>
      <c r="E91" s="12"/>
      <c r="F91" s="14"/>
      <c r="G91" s="14"/>
      <c r="H91" s="15"/>
      <c r="I91" s="59"/>
      <c r="J91" s="63"/>
    </row>
    <row r="92" spans="1:10" ht="30" customHeight="1">
      <c r="A92" s="12"/>
      <c r="B92" s="12"/>
      <c r="C92" s="12"/>
      <c r="D92" s="12"/>
      <c r="E92" s="12"/>
      <c r="F92" s="14"/>
      <c r="G92" s="14"/>
      <c r="H92" s="15"/>
      <c r="I92" s="59"/>
      <c r="J92" s="63"/>
    </row>
    <row r="93" spans="1:10" ht="30" customHeight="1">
      <c r="A93" s="12"/>
      <c r="B93" s="12"/>
      <c r="C93" s="12"/>
      <c r="D93" s="12"/>
      <c r="E93" s="12"/>
      <c r="F93" s="14"/>
      <c r="G93" s="14"/>
      <c r="H93" s="15"/>
      <c r="I93" s="59"/>
      <c r="J93" s="63"/>
    </row>
    <row r="94" spans="1:10" ht="30" customHeight="1">
      <c r="A94" s="12"/>
      <c r="B94" s="12"/>
      <c r="C94" s="12"/>
      <c r="D94" s="12"/>
      <c r="E94" s="12"/>
      <c r="F94" s="14"/>
      <c r="G94" s="14"/>
      <c r="H94" s="15"/>
      <c r="I94" s="59"/>
      <c r="J94" s="63"/>
    </row>
    <row r="95" spans="1:10" ht="30" customHeight="1">
      <c r="A95" s="12"/>
      <c r="B95" s="12"/>
      <c r="C95" s="12"/>
      <c r="D95" s="12"/>
      <c r="E95" s="12"/>
      <c r="F95" s="14"/>
      <c r="G95" s="14"/>
      <c r="H95" s="15"/>
      <c r="I95" s="59"/>
      <c r="J95" s="63"/>
    </row>
    <row r="96" spans="1:10" ht="30" customHeight="1">
      <c r="A96" s="12"/>
      <c r="B96" s="12"/>
      <c r="C96" s="12"/>
      <c r="D96" s="12"/>
      <c r="E96" s="12"/>
      <c r="F96" s="14"/>
      <c r="G96" s="14"/>
      <c r="H96" s="15"/>
      <c r="I96" s="59"/>
      <c r="J96" s="63"/>
    </row>
    <row r="97" spans="1:10" ht="30" customHeight="1">
      <c r="A97" s="12"/>
      <c r="B97" s="12"/>
      <c r="C97" s="12"/>
      <c r="D97" s="12"/>
      <c r="E97" s="12"/>
      <c r="F97" s="14"/>
      <c r="G97" s="14"/>
      <c r="H97" s="15"/>
      <c r="I97" s="59"/>
      <c r="J97" s="63"/>
    </row>
    <row r="98" spans="1:10" ht="30" customHeight="1">
      <c r="A98" s="12"/>
      <c r="B98" s="12"/>
      <c r="C98" s="12"/>
      <c r="D98" s="12"/>
      <c r="E98" s="12"/>
      <c r="F98" s="14"/>
      <c r="G98" s="14"/>
      <c r="H98" s="15"/>
      <c r="I98" s="59"/>
      <c r="J98" s="63"/>
    </row>
    <row r="99" spans="1:10" ht="30" customHeight="1">
      <c r="A99" s="12"/>
      <c r="B99" s="12"/>
      <c r="C99" s="12"/>
      <c r="D99" s="12"/>
      <c r="E99" s="12"/>
      <c r="F99" s="14"/>
      <c r="G99" s="14"/>
      <c r="H99" s="15"/>
      <c r="I99" s="59"/>
      <c r="J99" s="63"/>
    </row>
    <row r="100" spans="1:10" ht="30" customHeight="1">
      <c r="A100" s="12"/>
      <c r="B100" s="12"/>
      <c r="C100" s="12"/>
      <c r="D100" s="12"/>
      <c r="E100" s="12"/>
      <c r="F100" s="14"/>
      <c r="G100" s="14"/>
      <c r="H100" s="15"/>
      <c r="I100" s="59"/>
      <c r="J100" s="63"/>
    </row>
    <row r="101" spans="1:10" ht="30" customHeight="1">
      <c r="A101" s="12"/>
      <c r="B101" s="12"/>
      <c r="C101" s="12"/>
      <c r="D101" s="12"/>
      <c r="E101" s="12"/>
      <c r="F101" s="14"/>
      <c r="G101" s="14"/>
      <c r="H101" s="15"/>
      <c r="I101" s="59"/>
      <c r="J101" s="63"/>
    </row>
    <row r="102" spans="1:10" ht="30" customHeight="1">
      <c r="A102" s="12"/>
      <c r="B102" s="12"/>
      <c r="C102" s="12"/>
      <c r="D102" s="12"/>
      <c r="E102" s="12"/>
      <c r="F102" s="14"/>
      <c r="G102" s="14"/>
      <c r="H102" s="15"/>
      <c r="I102" s="59"/>
      <c r="J102" s="63"/>
    </row>
    <row r="103" spans="1:10" ht="30" customHeight="1">
      <c r="A103" s="12"/>
      <c r="B103" s="12"/>
      <c r="C103" s="12"/>
      <c r="D103" s="12"/>
      <c r="E103" s="12"/>
      <c r="F103" s="14"/>
      <c r="G103" s="14"/>
      <c r="H103" s="15"/>
      <c r="I103" s="59"/>
      <c r="J103" s="63"/>
    </row>
    <row r="104" spans="1:10" ht="30" customHeight="1">
      <c r="A104" s="12"/>
      <c r="B104" s="12"/>
      <c r="C104" s="12"/>
      <c r="D104" s="12"/>
      <c r="E104" s="12"/>
      <c r="F104" s="14"/>
      <c r="G104" s="14"/>
      <c r="H104" s="15"/>
      <c r="I104" s="59"/>
      <c r="J104" s="63"/>
    </row>
    <row r="105" spans="1:10" ht="30" customHeight="1">
      <c r="A105" s="12"/>
      <c r="B105" s="12"/>
      <c r="C105" s="12"/>
      <c r="D105" s="12"/>
      <c r="E105" s="12"/>
      <c r="F105" s="14"/>
      <c r="G105" s="14"/>
      <c r="H105" s="15"/>
      <c r="I105" s="59"/>
      <c r="J105" s="63"/>
    </row>
    <row r="106" spans="1:10" ht="30" customHeight="1">
      <c r="A106" s="12"/>
      <c r="B106" s="12"/>
      <c r="C106" s="12"/>
      <c r="D106" s="12"/>
      <c r="E106" s="12"/>
      <c r="F106" s="14"/>
      <c r="G106" s="14"/>
      <c r="H106" s="15"/>
      <c r="I106" s="59"/>
      <c r="J106" s="63"/>
    </row>
    <row r="107" spans="1:10" ht="30" customHeight="1">
      <c r="A107" s="12"/>
      <c r="B107" s="12"/>
      <c r="C107" s="12"/>
      <c r="D107" s="12"/>
      <c r="E107" s="12"/>
      <c r="F107" s="14"/>
      <c r="G107" s="14"/>
      <c r="H107" s="15"/>
      <c r="I107" s="59"/>
      <c r="J107" s="63"/>
    </row>
    <row r="108" spans="1:10" ht="30" customHeight="1">
      <c r="A108" s="12"/>
      <c r="B108" s="12"/>
      <c r="C108" s="12"/>
      <c r="D108" s="12"/>
      <c r="E108" s="12"/>
      <c r="F108" s="14"/>
      <c r="G108" s="14"/>
      <c r="H108" s="15"/>
      <c r="I108" s="59"/>
      <c r="J108" s="63"/>
    </row>
    <row r="109" spans="1:10" ht="30" customHeight="1">
      <c r="A109" s="12"/>
      <c r="B109" s="12"/>
      <c r="C109" s="12"/>
      <c r="D109" s="12"/>
      <c r="E109" s="12"/>
      <c r="F109" s="14"/>
      <c r="G109" s="14"/>
      <c r="H109" s="15"/>
      <c r="I109" s="59"/>
      <c r="J109" s="63"/>
    </row>
    <row r="110" spans="1:10" ht="30" customHeight="1">
      <c r="A110" s="12"/>
      <c r="B110" s="12"/>
      <c r="C110" s="12"/>
      <c r="D110" s="12"/>
      <c r="E110" s="12"/>
      <c r="F110" s="14"/>
      <c r="G110" s="14"/>
      <c r="H110" s="15"/>
      <c r="I110" s="59"/>
      <c r="J110" s="63"/>
    </row>
    <row r="111" spans="1:10" ht="30" customHeight="1">
      <c r="A111" s="12"/>
      <c r="B111" s="12"/>
      <c r="C111" s="12"/>
      <c r="D111" s="12"/>
      <c r="E111" s="12"/>
      <c r="F111" s="14"/>
      <c r="G111" s="14"/>
      <c r="H111" s="15"/>
      <c r="I111" s="59"/>
      <c r="J111" s="63"/>
    </row>
    <row r="112" spans="1:10" ht="30" customHeight="1">
      <c r="A112" s="12"/>
      <c r="B112" s="12"/>
      <c r="C112" s="12"/>
      <c r="D112" s="12"/>
      <c r="E112" s="12"/>
      <c r="F112" s="14"/>
      <c r="G112" s="14"/>
      <c r="H112" s="15"/>
      <c r="I112" s="59"/>
      <c r="J112" s="63"/>
    </row>
    <row r="113" spans="1:10" ht="30" customHeight="1">
      <c r="A113" s="12"/>
      <c r="B113" s="12"/>
      <c r="C113" s="12"/>
      <c r="D113" s="12"/>
      <c r="E113" s="12"/>
      <c r="F113" s="14"/>
      <c r="G113" s="14"/>
      <c r="H113" s="15"/>
      <c r="I113" s="59"/>
      <c r="J113" s="63"/>
    </row>
    <row r="114" spans="1:10" ht="30" customHeight="1">
      <c r="A114" s="12"/>
      <c r="B114" s="12"/>
      <c r="C114" s="12"/>
      <c r="D114" s="12"/>
      <c r="E114" s="12"/>
      <c r="F114" s="14"/>
      <c r="G114" s="14"/>
      <c r="H114" s="15"/>
      <c r="I114" s="59"/>
      <c r="J114" s="63"/>
    </row>
    <row r="115" spans="1:10" ht="30" customHeight="1">
      <c r="A115" s="12"/>
      <c r="B115" s="12"/>
      <c r="C115" s="12"/>
      <c r="D115" s="12"/>
      <c r="E115" s="12"/>
      <c r="F115" s="14"/>
      <c r="G115" s="14"/>
      <c r="H115" s="15"/>
      <c r="I115" s="59"/>
      <c r="J115" s="63"/>
    </row>
    <row r="116" spans="1:10" ht="30" customHeight="1">
      <c r="A116" s="12"/>
      <c r="B116" s="12"/>
      <c r="C116" s="12"/>
      <c r="D116" s="12"/>
      <c r="E116" s="12"/>
      <c r="F116" s="14"/>
      <c r="G116" s="14"/>
      <c r="H116" s="15"/>
      <c r="I116" s="59"/>
      <c r="J116" s="63"/>
    </row>
    <row r="117" spans="1:10" ht="30" customHeight="1">
      <c r="A117" s="12"/>
      <c r="B117" s="12"/>
      <c r="C117" s="12"/>
      <c r="D117" s="12"/>
      <c r="E117" s="12"/>
      <c r="F117" s="14"/>
      <c r="G117" s="14"/>
      <c r="H117" s="15"/>
      <c r="I117" s="59"/>
      <c r="J117" s="63"/>
    </row>
    <row r="118" spans="1:10" ht="30" customHeight="1">
      <c r="A118" s="12"/>
      <c r="B118" s="12"/>
      <c r="C118" s="12"/>
      <c r="D118" s="12"/>
      <c r="E118" s="12"/>
      <c r="F118" s="14"/>
      <c r="G118" s="14"/>
      <c r="H118" s="15"/>
      <c r="I118" s="59"/>
      <c r="J118" s="63"/>
    </row>
    <row r="119" spans="1:10" ht="30" customHeight="1">
      <c r="A119" s="12"/>
      <c r="B119" s="12"/>
      <c r="C119" s="12"/>
      <c r="D119" s="12"/>
      <c r="E119" s="12"/>
      <c r="F119" s="14"/>
      <c r="G119" s="14"/>
      <c r="H119" s="15"/>
      <c r="I119" s="59"/>
      <c r="J119" s="63"/>
    </row>
    <row r="120" spans="1:10" ht="30" customHeight="1">
      <c r="A120" s="12"/>
      <c r="B120" s="12"/>
      <c r="C120" s="12"/>
      <c r="D120" s="12"/>
      <c r="E120" s="12"/>
      <c r="F120" s="14"/>
      <c r="G120" s="14"/>
      <c r="H120" s="15"/>
      <c r="I120" s="59"/>
      <c r="J120" s="63"/>
    </row>
    <row r="121" spans="1:10" ht="30" customHeight="1">
      <c r="A121" s="12"/>
      <c r="B121" s="12"/>
      <c r="C121" s="12"/>
      <c r="D121" s="12"/>
      <c r="E121" s="12"/>
      <c r="F121" s="14"/>
      <c r="G121" s="14"/>
      <c r="H121" s="15"/>
      <c r="I121" s="59"/>
      <c r="J121" s="63"/>
    </row>
    <row r="122" spans="1:10" ht="30" customHeight="1">
      <c r="A122" s="12"/>
      <c r="B122" s="12"/>
      <c r="C122" s="12"/>
      <c r="D122" s="12"/>
      <c r="E122" s="12"/>
      <c r="F122" s="14"/>
      <c r="G122" s="14"/>
      <c r="H122" s="15"/>
      <c r="I122" s="59"/>
      <c r="J122" s="63"/>
    </row>
    <row r="123" spans="1:10" ht="30" customHeight="1">
      <c r="A123" s="12"/>
      <c r="B123" s="12"/>
      <c r="C123" s="12"/>
      <c r="D123" s="12"/>
      <c r="E123" s="12"/>
      <c r="F123" s="14"/>
      <c r="G123" s="14"/>
      <c r="H123" s="15"/>
      <c r="I123" s="59"/>
      <c r="J123" s="63"/>
    </row>
    <row r="124" spans="1:10" ht="30" customHeight="1">
      <c r="A124" s="12"/>
      <c r="B124" s="12"/>
      <c r="C124" s="12"/>
      <c r="D124" s="12"/>
      <c r="E124" s="12"/>
      <c r="F124" s="14"/>
      <c r="G124" s="14"/>
      <c r="H124" s="15"/>
      <c r="I124" s="59"/>
      <c r="J124" s="63"/>
    </row>
    <row r="125" spans="1:10" ht="30" customHeight="1">
      <c r="A125" s="12"/>
      <c r="B125" s="12"/>
      <c r="C125" s="12"/>
      <c r="D125" s="12"/>
      <c r="E125" s="12"/>
      <c r="F125" s="14"/>
      <c r="G125" s="14"/>
      <c r="H125" s="15"/>
      <c r="I125" s="59"/>
      <c r="J125" s="63"/>
    </row>
    <row r="126" spans="1:10" ht="30" customHeight="1">
      <c r="A126" s="12"/>
      <c r="B126" s="12"/>
      <c r="C126" s="12"/>
      <c r="D126" s="12"/>
      <c r="E126" s="12"/>
      <c r="F126" s="14"/>
      <c r="G126" s="14"/>
      <c r="H126" s="15"/>
      <c r="I126" s="59"/>
      <c r="J126" s="63"/>
    </row>
    <row r="127" spans="1:10" ht="30" customHeight="1">
      <c r="A127" s="12"/>
      <c r="B127" s="12"/>
      <c r="C127" s="12"/>
      <c r="D127" s="12"/>
      <c r="E127" s="12"/>
      <c r="F127" s="14"/>
      <c r="G127" s="14"/>
      <c r="H127" s="15"/>
      <c r="I127" s="59"/>
      <c r="J127" s="63"/>
    </row>
    <row r="128" spans="1:10" ht="30" customHeight="1">
      <c r="A128" s="12"/>
      <c r="B128" s="12"/>
      <c r="C128" s="12"/>
      <c r="D128" s="12"/>
      <c r="E128" s="12"/>
      <c r="F128" s="14"/>
      <c r="G128" s="14"/>
      <c r="H128" s="15"/>
      <c r="I128" s="59"/>
      <c r="J128" s="63"/>
    </row>
    <row r="129" spans="1:10" ht="30" customHeight="1">
      <c r="A129" s="12"/>
      <c r="B129" s="12"/>
      <c r="C129" s="12"/>
      <c r="D129" s="12"/>
      <c r="E129" s="12"/>
      <c r="F129" s="14"/>
      <c r="G129" s="14"/>
      <c r="H129" s="15"/>
      <c r="I129" s="59"/>
      <c r="J129" s="63"/>
    </row>
    <row r="130" spans="1:10" ht="30" customHeight="1">
      <c r="A130" s="12"/>
      <c r="B130" s="12"/>
      <c r="C130" s="12"/>
      <c r="D130" s="12"/>
      <c r="E130" s="12"/>
      <c r="F130" s="14"/>
      <c r="G130" s="14"/>
      <c r="H130" s="15"/>
      <c r="I130" s="59"/>
      <c r="J130" s="63"/>
    </row>
    <row r="131" spans="1:10" ht="30" customHeight="1">
      <c r="A131" s="12"/>
      <c r="B131" s="12"/>
      <c r="C131" s="12"/>
      <c r="D131" s="12"/>
      <c r="E131" s="12"/>
      <c r="F131" s="14"/>
      <c r="G131" s="14"/>
      <c r="H131" s="15"/>
      <c r="I131" s="59"/>
      <c r="J131" s="63"/>
    </row>
    <row r="132" spans="1:10" ht="30" customHeight="1">
      <c r="A132" s="12"/>
      <c r="B132" s="12"/>
      <c r="C132" s="12"/>
      <c r="D132" s="12"/>
      <c r="E132" s="12"/>
      <c r="F132" s="14"/>
      <c r="G132" s="14"/>
      <c r="H132" s="15"/>
      <c r="I132" s="59"/>
      <c r="J132" s="63"/>
    </row>
    <row r="133" spans="1:10" ht="30" customHeight="1">
      <c r="A133" s="12"/>
      <c r="B133" s="12"/>
      <c r="C133" s="12"/>
      <c r="D133" s="12"/>
      <c r="E133" s="12"/>
      <c r="F133" s="14"/>
      <c r="G133" s="14"/>
      <c r="H133" s="15"/>
      <c r="I133" s="59"/>
      <c r="J133" s="63"/>
    </row>
    <row r="134" spans="1:10" ht="30" customHeight="1">
      <c r="A134" s="12"/>
      <c r="B134" s="12"/>
      <c r="C134" s="12"/>
      <c r="D134" s="12"/>
      <c r="E134" s="12"/>
      <c r="F134" s="14"/>
      <c r="G134" s="14"/>
      <c r="H134" s="15"/>
      <c r="I134" s="59"/>
      <c r="J134" s="63"/>
    </row>
    <row r="135" spans="1:10" ht="30" customHeight="1">
      <c r="A135" s="12"/>
      <c r="B135" s="12"/>
      <c r="C135" s="12"/>
      <c r="D135" s="12"/>
      <c r="E135" s="12"/>
      <c r="F135" s="14"/>
      <c r="G135" s="14"/>
      <c r="H135" s="15"/>
      <c r="I135" s="59"/>
      <c r="J135" s="63"/>
    </row>
    <row r="136" spans="1:10" ht="30" customHeight="1">
      <c r="A136" s="12"/>
      <c r="B136" s="12"/>
      <c r="C136" s="12"/>
      <c r="D136" s="12"/>
      <c r="E136" s="12"/>
      <c r="F136" s="14"/>
      <c r="G136" s="14"/>
      <c r="H136" s="15"/>
      <c r="I136" s="59"/>
      <c r="J136" s="63"/>
    </row>
    <row r="137" spans="1:10" ht="30" customHeight="1">
      <c r="A137" s="12"/>
      <c r="B137" s="12"/>
      <c r="C137" s="12"/>
      <c r="D137" s="12"/>
      <c r="E137" s="12"/>
      <c r="F137" s="14"/>
      <c r="G137" s="14"/>
      <c r="H137" s="15"/>
      <c r="I137" s="59"/>
      <c r="J137" s="63"/>
    </row>
    <row r="138" spans="1:10" ht="30" customHeight="1">
      <c r="A138" s="12"/>
      <c r="B138" s="12"/>
      <c r="C138" s="12"/>
      <c r="D138" s="12"/>
      <c r="E138" s="12"/>
      <c r="F138" s="14"/>
      <c r="G138" s="14"/>
      <c r="H138" s="15"/>
      <c r="I138" s="59"/>
      <c r="J138" s="63"/>
    </row>
    <row r="139" spans="1:10" ht="30" customHeight="1">
      <c r="A139" s="12"/>
      <c r="B139" s="12"/>
      <c r="C139" s="12"/>
      <c r="D139" s="12"/>
      <c r="E139" s="12"/>
      <c r="F139" s="14"/>
      <c r="G139" s="14"/>
      <c r="H139" s="15"/>
      <c r="I139" s="59"/>
      <c r="J139" s="63"/>
    </row>
    <row r="140" spans="1:10" ht="30" customHeight="1">
      <c r="A140" s="12"/>
      <c r="B140" s="12"/>
      <c r="C140" s="12"/>
      <c r="D140" s="12"/>
      <c r="E140" s="12"/>
      <c r="F140" s="14"/>
      <c r="G140" s="14"/>
      <c r="H140" s="15"/>
      <c r="I140" s="59"/>
      <c r="J140" s="63"/>
    </row>
    <row r="141" spans="1:10" ht="30" customHeight="1">
      <c r="A141" s="12"/>
      <c r="B141" s="12"/>
      <c r="C141" s="12"/>
      <c r="D141" s="12"/>
      <c r="E141" s="12"/>
      <c r="F141" s="14"/>
      <c r="G141" s="14"/>
      <c r="H141" s="15"/>
      <c r="I141" s="59"/>
      <c r="J141" s="63"/>
    </row>
    <row r="142" spans="1:10" ht="30" customHeight="1">
      <c r="A142" s="12"/>
      <c r="B142" s="12"/>
      <c r="C142" s="12"/>
      <c r="D142" s="12"/>
      <c r="E142" s="12"/>
      <c r="F142" s="14"/>
      <c r="G142" s="14"/>
      <c r="H142" s="15"/>
      <c r="I142" s="59"/>
      <c r="J142" s="63"/>
    </row>
    <row r="143" spans="1:10" ht="30" customHeight="1">
      <c r="A143" s="12"/>
      <c r="B143" s="12"/>
      <c r="C143" s="12"/>
      <c r="D143" s="12"/>
      <c r="E143" s="12"/>
      <c r="F143" s="14"/>
      <c r="G143" s="14"/>
      <c r="H143" s="15"/>
      <c r="I143" s="59"/>
      <c r="J143" s="63"/>
    </row>
    <row r="144" spans="1:10" ht="30" customHeight="1">
      <c r="A144" s="12"/>
      <c r="B144" s="12"/>
      <c r="C144" s="12"/>
      <c r="D144" s="12"/>
      <c r="E144" s="12"/>
      <c r="F144" s="14"/>
      <c r="G144" s="14"/>
      <c r="H144" s="15"/>
      <c r="I144" s="59"/>
      <c r="J144" s="63"/>
    </row>
    <row r="145" spans="1:10" ht="30" customHeight="1">
      <c r="A145" s="12"/>
      <c r="B145" s="12"/>
      <c r="C145" s="12"/>
      <c r="D145" s="12"/>
      <c r="E145" s="12"/>
      <c r="F145" s="14"/>
      <c r="G145" s="14"/>
      <c r="H145" s="15"/>
      <c r="I145" s="59"/>
      <c r="J145" s="63"/>
    </row>
    <row r="146" spans="1:10" ht="30" customHeight="1">
      <c r="A146" s="12"/>
      <c r="B146" s="12"/>
      <c r="C146" s="12"/>
      <c r="D146" s="12"/>
      <c r="E146" s="12"/>
      <c r="F146" s="14"/>
      <c r="G146" s="14"/>
      <c r="H146" s="15"/>
      <c r="I146" s="59"/>
      <c r="J146" s="63"/>
    </row>
    <row r="147" spans="1:10" ht="30" customHeight="1">
      <c r="A147" s="12"/>
      <c r="B147" s="12"/>
      <c r="C147" s="12"/>
      <c r="D147" s="12"/>
      <c r="E147" s="12"/>
      <c r="F147" s="14"/>
      <c r="G147" s="14"/>
      <c r="H147" s="15"/>
      <c r="I147" s="59"/>
      <c r="J147" s="63"/>
    </row>
    <row r="148" spans="1:10" ht="30" customHeight="1">
      <c r="A148" s="12"/>
      <c r="B148" s="12"/>
      <c r="C148" s="12"/>
      <c r="D148" s="12"/>
      <c r="E148" s="12"/>
      <c r="F148" s="14"/>
      <c r="G148" s="14"/>
      <c r="H148" s="15"/>
      <c r="I148" s="59"/>
      <c r="J148" s="63"/>
    </row>
    <row r="149" spans="1:10" ht="30" customHeight="1">
      <c r="A149" s="12"/>
      <c r="B149" s="12"/>
      <c r="C149" s="12"/>
      <c r="D149" s="12"/>
      <c r="E149" s="12"/>
      <c r="F149" s="14"/>
      <c r="G149" s="14"/>
      <c r="H149" s="15"/>
      <c r="I149" s="59"/>
      <c r="J149" s="63"/>
    </row>
    <row r="150" spans="1:10" ht="30" customHeight="1">
      <c r="A150" s="12"/>
      <c r="B150" s="12"/>
      <c r="C150" s="12"/>
      <c r="D150" s="12"/>
      <c r="E150" s="12"/>
      <c r="F150" s="14"/>
      <c r="G150" s="14"/>
      <c r="H150" s="15"/>
      <c r="I150" s="59"/>
      <c r="J150" s="63"/>
    </row>
    <row r="151" spans="1:10" ht="30" customHeight="1">
      <c r="A151" s="12"/>
      <c r="B151" s="12"/>
      <c r="C151" s="12"/>
      <c r="D151" s="12"/>
      <c r="E151" s="12"/>
      <c r="F151" s="14"/>
      <c r="G151" s="14"/>
      <c r="H151" s="15"/>
      <c r="I151" s="59"/>
      <c r="J151" s="63"/>
    </row>
    <row r="152" spans="1:10" ht="30" customHeight="1">
      <c r="A152" s="12"/>
      <c r="B152" s="12"/>
      <c r="C152" s="12"/>
      <c r="D152" s="12"/>
      <c r="E152" s="12"/>
      <c r="F152" s="14"/>
      <c r="G152" s="14"/>
      <c r="H152" s="15"/>
      <c r="I152" s="59"/>
      <c r="J152" s="63"/>
    </row>
    <row r="153" spans="1:10" ht="30" customHeight="1">
      <c r="A153" s="12"/>
      <c r="B153" s="12"/>
      <c r="C153" s="12"/>
      <c r="D153" s="12"/>
      <c r="E153" s="12"/>
      <c r="F153" s="14"/>
      <c r="G153" s="14"/>
      <c r="H153" s="15"/>
      <c r="I153" s="59"/>
      <c r="J153" s="63"/>
    </row>
    <row r="154" spans="1:10" ht="30" customHeight="1">
      <c r="A154" s="12"/>
      <c r="B154" s="12"/>
      <c r="C154" s="12"/>
      <c r="D154" s="12"/>
      <c r="E154" s="12"/>
      <c r="F154" s="14"/>
      <c r="G154" s="14"/>
      <c r="H154" s="15"/>
      <c r="I154" s="59"/>
      <c r="J154" s="63"/>
    </row>
    <row r="155" spans="1:10" ht="30" customHeight="1">
      <c r="A155" s="12"/>
      <c r="B155" s="12"/>
      <c r="C155" s="12"/>
      <c r="D155" s="12"/>
      <c r="E155" s="12"/>
      <c r="F155" s="14"/>
      <c r="G155" s="14"/>
      <c r="H155" s="15"/>
      <c r="I155" s="59"/>
      <c r="J155" s="63"/>
    </row>
    <row r="156" spans="1:10" ht="30" customHeight="1">
      <c r="A156" s="12"/>
      <c r="B156" s="12"/>
      <c r="C156" s="12"/>
      <c r="D156" s="12"/>
      <c r="E156" s="12"/>
      <c r="F156" s="14"/>
      <c r="G156" s="14"/>
      <c r="H156" s="15"/>
      <c r="I156" s="59"/>
      <c r="J156" s="63"/>
    </row>
    <row r="157" spans="1:10" ht="30" customHeight="1">
      <c r="A157" s="12"/>
      <c r="B157" s="12"/>
      <c r="C157" s="12"/>
      <c r="D157" s="12"/>
      <c r="E157" s="12"/>
      <c r="F157" s="14"/>
      <c r="G157" s="14"/>
      <c r="H157" s="15"/>
      <c r="I157" s="59"/>
      <c r="J157" s="63"/>
    </row>
    <row r="158" spans="1:10" ht="30" customHeight="1">
      <c r="A158" s="12"/>
      <c r="B158" s="12"/>
      <c r="C158" s="12"/>
      <c r="D158" s="12"/>
      <c r="E158" s="12"/>
      <c r="F158" s="14"/>
      <c r="G158" s="14"/>
      <c r="H158" s="15"/>
      <c r="I158" s="59"/>
      <c r="J158" s="63"/>
    </row>
    <row r="159" spans="1:10" ht="30" customHeight="1">
      <c r="A159" s="12"/>
      <c r="B159" s="12"/>
      <c r="C159" s="12"/>
      <c r="D159" s="12"/>
      <c r="E159" s="12"/>
      <c r="F159" s="14"/>
      <c r="G159" s="14"/>
      <c r="H159" s="15"/>
      <c r="I159" s="59"/>
      <c r="J159" s="63"/>
    </row>
    <row r="160" spans="1:10" ht="30" customHeight="1">
      <c r="A160" s="12"/>
      <c r="B160" s="12"/>
      <c r="C160" s="12"/>
      <c r="D160" s="12"/>
      <c r="E160" s="12"/>
      <c r="F160" s="14"/>
      <c r="G160" s="14"/>
      <c r="H160" s="15"/>
      <c r="I160" s="59"/>
      <c r="J160" s="63"/>
    </row>
    <row r="161" spans="1:10" ht="30" customHeight="1">
      <c r="A161" s="12"/>
      <c r="B161" s="12"/>
      <c r="C161" s="12"/>
      <c r="D161" s="12"/>
      <c r="E161" s="12"/>
      <c r="F161" s="14"/>
      <c r="G161" s="14"/>
      <c r="H161" s="15"/>
      <c r="I161" s="59"/>
      <c r="J161" s="63"/>
    </row>
    <row r="162" spans="1:10" ht="30" customHeight="1">
      <c r="A162" s="12"/>
      <c r="B162" s="12"/>
      <c r="C162" s="12"/>
      <c r="D162" s="12"/>
      <c r="E162" s="12"/>
      <c r="F162" s="14"/>
      <c r="G162" s="14"/>
      <c r="H162" s="15"/>
      <c r="I162" s="59"/>
      <c r="J162" s="63"/>
    </row>
    <row r="163" spans="1:10" ht="30" customHeight="1">
      <c r="A163" s="12"/>
      <c r="B163" s="12"/>
      <c r="C163" s="12"/>
      <c r="D163" s="12"/>
      <c r="E163" s="12"/>
      <c r="F163" s="14"/>
      <c r="G163" s="14"/>
      <c r="H163" s="15"/>
      <c r="I163" s="59"/>
      <c r="J163" s="63"/>
    </row>
    <row r="164" spans="1:10" ht="30" customHeight="1">
      <c r="A164" s="12"/>
      <c r="B164" s="12"/>
      <c r="C164" s="12"/>
      <c r="D164" s="12"/>
      <c r="E164" s="12"/>
      <c r="F164" s="14"/>
      <c r="G164" s="14"/>
      <c r="H164" s="15"/>
      <c r="I164" s="59"/>
      <c r="J164" s="63"/>
    </row>
    <row r="165" spans="1:10" ht="30" customHeight="1">
      <c r="A165" s="12"/>
      <c r="B165" s="12"/>
      <c r="C165" s="12"/>
      <c r="D165" s="12"/>
      <c r="E165" s="12"/>
      <c r="F165" s="14"/>
      <c r="G165" s="14"/>
      <c r="H165" s="15"/>
      <c r="I165" s="59"/>
      <c r="J165" s="63"/>
    </row>
    <row r="166" spans="1:10" ht="30" customHeight="1">
      <c r="A166" s="12"/>
      <c r="B166" s="12"/>
      <c r="C166" s="12"/>
      <c r="D166" s="12"/>
      <c r="E166" s="12"/>
      <c r="F166" s="14"/>
      <c r="G166" s="14"/>
      <c r="H166" s="15"/>
      <c r="I166" s="59"/>
      <c r="J166" s="63"/>
    </row>
    <row r="167" spans="1:10" ht="30" customHeight="1">
      <c r="A167" s="12"/>
      <c r="B167" s="12"/>
      <c r="C167" s="12"/>
      <c r="D167" s="12"/>
      <c r="E167" s="12"/>
      <c r="F167" s="14"/>
      <c r="G167" s="14"/>
      <c r="H167" s="15"/>
      <c r="I167" s="59"/>
      <c r="J167" s="63"/>
    </row>
    <row r="168" spans="1:10" ht="30" customHeight="1">
      <c r="A168" s="12"/>
      <c r="B168" s="12"/>
      <c r="C168" s="12"/>
      <c r="D168" s="12"/>
      <c r="E168" s="12"/>
      <c r="F168" s="14"/>
      <c r="G168" s="14"/>
      <c r="H168" s="15"/>
      <c r="I168" s="59"/>
      <c r="J168" s="63"/>
    </row>
    <row r="169" spans="1:10" ht="30" customHeight="1">
      <c r="A169" s="12"/>
      <c r="B169" s="12"/>
      <c r="C169" s="12"/>
      <c r="D169" s="12"/>
      <c r="E169" s="12"/>
      <c r="F169" s="14"/>
      <c r="G169" s="14"/>
      <c r="H169" s="15"/>
      <c r="I169" s="59"/>
      <c r="J169" s="63"/>
    </row>
    <row r="170" spans="1:10" ht="30" customHeight="1">
      <c r="A170" s="12"/>
      <c r="B170" s="12"/>
      <c r="C170" s="12"/>
      <c r="D170" s="12"/>
      <c r="E170" s="12"/>
      <c r="F170" s="14"/>
      <c r="G170" s="14"/>
      <c r="H170" s="15"/>
      <c r="I170" s="59"/>
      <c r="J170" s="63"/>
    </row>
    <row r="171" spans="1:10" ht="30" customHeight="1">
      <c r="A171" s="12"/>
      <c r="B171" s="12"/>
      <c r="C171" s="12"/>
      <c r="D171" s="12"/>
      <c r="E171" s="12"/>
      <c r="F171" s="14"/>
      <c r="G171" s="14"/>
      <c r="H171" s="15"/>
      <c r="I171" s="59"/>
      <c r="J171" s="63"/>
    </row>
    <row r="172" spans="1:10" ht="30" customHeight="1">
      <c r="A172" s="12"/>
      <c r="B172" s="12"/>
      <c r="C172" s="12"/>
      <c r="D172" s="12"/>
      <c r="E172" s="12"/>
      <c r="F172" s="14"/>
      <c r="G172" s="14"/>
      <c r="H172" s="15"/>
      <c r="I172" s="59"/>
      <c r="J172" s="63"/>
    </row>
    <row r="173" spans="1:10" ht="30" customHeight="1">
      <c r="A173" s="12"/>
      <c r="B173" s="12"/>
      <c r="C173" s="12"/>
      <c r="D173" s="12"/>
      <c r="E173" s="12"/>
      <c r="F173" s="14"/>
      <c r="G173" s="14"/>
      <c r="H173" s="15"/>
      <c r="I173" s="59"/>
      <c r="J173" s="63"/>
    </row>
    <row r="174" spans="1:10" ht="30" customHeight="1">
      <c r="A174" s="12"/>
      <c r="B174" s="12"/>
      <c r="C174" s="12"/>
      <c r="D174" s="12"/>
      <c r="E174" s="12"/>
      <c r="F174" s="14"/>
      <c r="G174" s="14"/>
      <c r="H174" s="15"/>
      <c r="I174" s="59"/>
      <c r="J174" s="63"/>
    </row>
    <row r="175" spans="1:10" ht="30" customHeight="1">
      <c r="A175" s="12"/>
      <c r="B175" s="12"/>
      <c r="C175" s="12"/>
      <c r="D175" s="12"/>
      <c r="E175" s="12"/>
      <c r="F175" s="14"/>
      <c r="G175" s="14"/>
      <c r="H175" s="15"/>
      <c r="I175" s="59"/>
      <c r="J175" s="63"/>
    </row>
    <row r="176" spans="1:10" ht="30" customHeight="1">
      <c r="A176" s="12"/>
      <c r="B176" s="12"/>
      <c r="C176" s="12"/>
      <c r="D176" s="12"/>
      <c r="E176" s="12"/>
      <c r="F176" s="14"/>
      <c r="G176" s="14"/>
      <c r="H176" s="15"/>
      <c r="I176" s="59"/>
      <c r="J176" s="63"/>
    </row>
    <row r="177" spans="1:10" ht="30" customHeight="1">
      <c r="A177" s="12"/>
      <c r="B177" s="12"/>
      <c r="C177" s="12"/>
      <c r="D177" s="12"/>
      <c r="E177" s="12"/>
      <c r="F177" s="14"/>
      <c r="G177" s="14"/>
      <c r="H177" s="15"/>
      <c r="I177" s="59"/>
      <c r="J177" s="63"/>
    </row>
    <row r="178" spans="1:10" ht="30" customHeight="1">
      <c r="A178" s="12"/>
      <c r="B178" s="12"/>
      <c r="C178" s="12"/>
      <c r="D178" s="12"/>
      <c r="E178" s="12"/>
      <c r="F178" s="14"/>
      <c r="G178" s="14"/>
      <c r="H178" s="15"/>
      <c r="I178" s="59"/>
      <c r="J178" s="63"/>
    </row>
    <row r="179" spans="1:10" ht="30" customHeight="1">
      <c r="A179" s="12"/>
      <c r="B179" s="12"/>
      <c r="C179" s="12"/>
      <c r="D179" s="12"/>
      <c r="E179" s="12"/>
      <c r="F179" s="14"/>
      <c r="G179" s="14"/>
      <c r="H179" s="15"/>
      <c r="I179" s="59"/>
      <c r="J179" s="63"/>
    </row>
    <row r="180" spans="1:10" ht="30" customHeight="1">
      <c r="A180" s="12"/>
      <c r="B180" s="12"/>
      <c r="C180" s="12"/>
      <c r="D180" s="12"/>
      <c r="E180" s="12"/>
      <c r="F180" s="14"/>
      <c r="G180" s="14"/>
      <c r="H180" s="15"/>
      <c r="I180" s="59"/>
      <c r="J180" s="63"/>
    </row>
    <row r="181" spans="1:10" ht="30" customHeight="1">
      <c r="A181" s="12"/>
      <c r="B181" s="12"/>
      <c r="C181" s="12"/>
      <c r="D181" s="12"/>
      <c r="E181" s="12"/>
      <c r="F181" s="14"/>
      <c r="G181" s="14"/>
      <c r="H181" s="15"/>
      <c r="I181" s="59"/>
      <c r="J181" s="63"/>
    </row>
    <row r="182" spans="1:10" ht="30" customHeight="1">
      <c r="A182" s="12"/>
      <c r="B182" s="12"/>
      <c r="C182" s="12"/>
      <c r="D182" s="12"/>
      <c r="E182" s="12"/>
      <c r="F182" s="14"/>
      <c r="G182" s="14"/>
      <c r="H182" s="15"/>
      <c r="I182" s="59"/>
      <c r="J182" s="63"/>
    </row>
    <row r="183" spans="1:10" ht="30" customHeight="1">
      <c r="A183" s="12"/>
      <c r="B183" s="12"/>
      <c r="C183" s="12"/>
      <c r="D183" s="12"/>
      <c r="E183" s="12"/>
      <c r="F183" s="14"/>
      <c r="G183" s="14"/>
      <c r="H183" s="15"/>
      <c r="I183" s="59"/>
      <c r="J183" s="63"/>
    </row>
    <row r="184" spans="1:10" ht="30" customHeight="1">
      <c r="A184" s="12"/>
      <c r="B184" s="12"/>
      <c r="C184" s="12"/>
      <c r="D184" s="12"/>
      <c r="E184" s="12"/>
      <c r="F184" s="14"/>
      <c r="G184" s="14"/>
      <c r="H184" s="15"/>
      <c r="I184" s="59"/>
      <c r="J184" s="63"/>
    </row>
    <row r="185" spans="1:10" ht="30" customHeight="1">
      <c r="A185" s="12"/>
      <c r="B185" s="12"/>
      <c r="C185" s="12"/>
      <c r="D185" s="12"/>
      <c r="E185" s="12"/>
      <c r="F185" s="14"/>
      <c r="G185" s="14"/>
      <c r="H185" s="15"/>
      <c r="I185" s="59"/>
      <c r="J185" s="63"/>
    </row>
    <row r="186" spans="1:10" ht="30" customHeight="1">
      <c r="A186" s="12"/>
      <c r="B186" s="12"/>
      <c r="C186" s="12"/>
      <c r="D186" s="12"/>
      <c r="E186" s="12"/>
      <c r="F186" s="14"/>
      <c r="G186" s="14"/>
      <c r="H186" s="15"/>
      <c r="I186" s="59"/>
      <c r="J186" s="63"/>
    </row>
    <row r="187" spans="1:10" ht="30" customHeight="1">
      <c r="A187" s="12"/>
      <c r="B187" s="12"/>
      <c r="C187" s="12"/>
      <c r="D187" s="12"/>
      <c r="E187" s="12"/>
      <c r="F187" s="14"/>
      <c r="G187" s="14"/>
      <c r="H187" s="15"/>
      <c r="I187" s="59"/>
      <c r="J187" s="63"/>
    </row>
    <row r="188" spans="1:10" ht="30" customHeight="1">
      <c r="A188" s="12"/>
      <c r="B188" s="12"/>
      <c r="C188" s="12"/>
      <c r="D188" s="12"/>
      <c r="E188" s="12"/>
      <c r="F188" s="14"/>
      <c r="G188" s="14"/>
      <c r="H188" s="15"/>
      <c r="I188" s="59"/>
      <c r="J188" s="63"/>
    </row>
    <row r="189" spans="1:10" ht="30" customHeight="1">
      <c r="A189" s="12"/>
      <c r="B189" s="12"/>
      <c r="C189" s="12"/>
      <c r="D189" s="12"/>
      <c r="E189" s="12"/>
      <c r="F189" s="14"/>
      <c r="G189" s="14"/>
      <c r="H189" s="15"/>
      <c r="I189" s="59"/>
      <c r="J189" s="63"/>
    </row>
    <row r="190" spans="1:10" ht="30" customHeight="1">
      <c r="A190" s="12"/>
      <c r="B190" s="12"/>
      <c r="C190" s="12"/>
      <c r="D190" s="12"/>
      <c r="E190" s="12"/>
      <c r="F190" s="14"/>
      <c r="G190" s="14"/>
      <c r="H190" s="15"/>
      <c r="I190" s="59"/>
      <c r="J190" s="63"/>
    </row>
    <row r="191" spans="1:10" ht="30" customHeight="1">
      <c r="A191" s="12"/>
      <c r="B191" s="12"/>
      <c r="C191" s="12"/>
      <c r="D191" s="12"/>
      <c r="E191" s="12"/>
      <c r="F191" s="14"/>
      <c r="G191" s="14"/>
      <c r="H191" s="15"/>
      <c r="I191" s="59"/>
      <c r="J191" s="63"/>
    </row>
    <row r="192" spans="1:10" ht="30" customHeight="1">
      <c r="A192" s="12"/>
      <c r="B192" s="12"/>
      <c r="C192" s="12"/>
      <c r="D192" s="12"/>
      <c r="E192" s="12"/>
      <c r="F192" s="14"/>
      <c r="G192" s="14"/>
      <c r="H192" s="15"/>
      <c r="I192" s="59"/>
      <c r="J192" s="63"/>
    </row>
    <row r="193" spans="1:10" ht="30" customHeight="1">
      <c r="A193" s="12"/>
      <c r="B193" s="12"/>
      <c r="C193" s="12"/>
      <c r="D193" s="12"/>
      <c r="E193" s="12"/>
      <c r="F193" s="14"/>
      <c r="G193" s="14"/>
      <c r="H193" s="15"/>
      <c r="I193" s="59"/>
      <c r="J193" s="63"/>
    </row>
    <row r="194" spans="1:10" ht="30" customHeight="1">
      <c r="A194" s="12"/>
      <c r="B194" s="12"/>
      <c r="C194" s="12"/>
      <c r="D194" s="12"/>
      <c r="E194" s="12"/>
      <c r="F194" s="14"/>
      <c r="G194" s="14"/>
      <c r="H194" s="15"/>
      <c r="I194" s="59"/>
      <c r="J194" s="63"/>
    </row>
    <row r="195" spans="1:10" ht="30" customHeight="1">
      <c r="A195" s="12"/>
      <c r="B195" s="12"/>
      <c r="C195" s="12"/>
      <c r="D195" s="12"/>
      <c r="E195" s="12"/>
      <c r="F195" s="14"/>
      <c r="G195" s="14"/>
      <c r="H195" s="15"/>
      <c r="I195" s="59"/>
      <c r="J195" s="63"/>
    </row>
    <row r="196" spans="1:10" ht="30" customHeight="1">
      <c r="A196" s="12"/>
      <c r="B196" s="12"/>
      <c r="C196" s="12"/>
      <c r="D196" s="12"/>
      <c r="E196" s="12"/>
      <c r="F196" s="14"/>
      <c r="G196" s="14"/>
      <c r="H196" s="15"/>
      <c r="I196" s="59"/>
      <c r="J196" s="63"/>
    </row>
    <row r="197" spans="1:10" ht="30" customHeight="1">
      <c r="A197" s="12"/>
      <c r="B197" s="12"/>
      <c r="C197" s="12"/>
      <c r="D197" s="12"/>
      <c r="E197" s="12"/>
      <c r="F197" s="14"/>
      <c r="G197" s="14"/>
      <c r="H197" s="15"/>
      <c r="I197" s="59"/>
      <c r="J197" s="63"/>
    </row>
    <row r="198" spans="1:10" ht="30" customHeight="1">
      <c r="A198" s="12"/>
      <c r="B198" s="12"/>
      <c r="C198" s="12"/>
      <c r="D198" s="12"/>
      <c r="E198" s="12"/>
      <c r="F198" s="14"/>
      <c r="G198" s="14"/>
      <c r="H198" s="15"/>
      <c r="I198" s="59"/>
      <c r="J198" s="63"/>
    </row>
    <row r="199" spans="1:10" ht="30" customHeight="1">
      <c r="A199" s="12"/>
      <c r="B199" s="12"/>
      <c r="C199" s="12"/>
      <c r="D199" s="12"/>
      <c r="E199" s="12"/>
      <c r="F199" s="14"/>
      <c r="G199" s="14"/>
      <c r="H199" s="15"/>
      <c r="I199" s="59"/>
      <c r="J199" s="63"/>
    </row>
    <row r="200" spans="1:10" ht="30" customHeight="1">
      <c r="A200" s="12"/>
      <c r="B200" s="12"/>
      <c r="C200" s="12"/>
      <c r="D200" s="12"/>
      <c r="E200" s="12"/>
      <c r="F200" s="14"/>
      <c r="G200" s="14"/>
      <c r="H200" s="15"/>
      <c r="I200" s="59"/>
      <c r="J200" s="63"/>
    </row>
    <row r="201" spans="1:10" ht="30" customHeight="1">
      <c r="A201" s="12"/>
      <c r="B201" s="12"/>
      <c r="C201" s="12"/>
      <c r="D201" s="12"/>
      <c r="E201" s="12"/>
      <c r="F201" s="14"/>
      <c r="G201" s="14"/>
      <c r="H201" s="15"/>
      <c r="I201" s="59"/>
      <c r="J201" s="63"/>
    </row>
    <row r="202" spans="1:10" ht="30" customHeight="1">
      <c r="A202" s="12"/>
      <c r="B202" s="12"/>
      <c r="C202" s="12"/>
      <c r="D202" s="12"/>
      <c r="E202" s="12"/>
      <c r="F202" s="14"/>
      <c r="G202" s="14"/>
      <c r="H202" s="15"/>
      <c r="I202" s="59"/>
      <c r="J202" s="63"/>
    </row>
    <row r="203" spans="1:10" ht="30" customHeight="1">
      <c r="A203" s="12"/>
      <c r="B203" s="12"/>
      <c r="C203" s="12"/>
      <c r="D203" s="12"/>
      <c r="E203" s="12"/>
      <c r="F203" s="14"/>
      <c r="G203" s="14"/>
      <c r="H203" s="15"/>
      <c r="I203" s="59"/>
      <c r="J203" s="63"/>
    </row>
    <row r="204" spans="1:10" ht="30" customHeight="1">
      <c r="A204" s="12"/>
      <c r="B204" s="12"/>
      <c r="C204" s="12"/>
      <c r="D204" s="12"/>
      <c r="E204" s="12"/>
      <c r="F204" s="14"/>
      <c r="G204" s="14"/>
      <c r="H204" s="15"/>
      <c r="I204" s="59"/>
      <c r="J204" s="63"/>
    </row>
    <row r="205" spans="1:10" ht="30" customHeight="1">
      <c r="A205" s="12"/>
      <c r="B205" s="12"/>
      <c r="C205" s="12"/>
      <c r="D205" s="12"/>
      <c r="E205" s="12"/>
      <c r="F205" s="14"/>
      <c r="G205" s="14"/>
      <c r="H205" s="15"/>
      <c r="I205" s="59"/>
      <c r="J205" s="63"/>
    </row>
    <row r="206" spans="1:10" ht="30" customHeight="1">
      <c r="A206" s="12"/>
      <c r="B206" s="12"/>
      <c r="C206" s="12"/>
      <c r="D206" s="12"/>
      <c r="E206" s="12"/>
      <c r="F206" s="14"/>
      <c r="G206" s="14"/>
      <c r="H206" s="15"/>
      <c r="I206" s="59"/>
      <c r="J206" s="63"/>
    </row>
    <row r="207" spans="1:10" ht="30" customHeight="1">
      <c r="A207" s="12"/>
      <c r="B207" s="12"/>
      <c r="C207" s="12"/>
      <c r="D207" s="12"/>
      <c r="E207" s="12"/>
      <c r="F207" s="14"/>
      <c r="G207" s="14"/>
      <c r="H207" s="15"/>
      <c r="I207" s="59"/>
      <c r="J207" s="63"/>
    </row>
    <row r="208" spans="1:10" ht="30" customHeight="1">
      <c r="A208" s="12"/>
      <c r="B208" s="12"/>
      <c r="C208" s="12"/>
      <c r="D208" s="12"/>
      <c r="E208" s="12"/>
      <c r="F208" s="14"/>
      <c r="G208" s="14"/>
      <c r="H208" s="15"/>
      <c r="I208" s="59"/>
      <c r="J208" s="63"/>
    </row>
    <row r="209" spans="1:10" ht="30" customHeight="1">
      <c r="A209" s="12"/>
      <c r="B209" s="12"/>
      <c r="C209" s="12"/>
      <c r="D209" s="12"/>
      <c r="E209" s="12"/>
      <c r="F209" s="14"/>
      <c r="G209" s="14"/>
      <c r="H209" s="15"/>
      <c r="I209" s="59"/>
      <c r="J209" s="63"/>
    </row>
    <row r="210" spans="1:10" ht="30" customHeight="1">
      <c r="A210" s="12"/>
      <c r="B210" s="12"/>
      <c r="C210" s="12"/>
      <c r="D210" s="12"/>
      <c r="E210" s="12"/>
      <c r="F210" s="14"/>
      <c r="G210" s="14"/>
      <c r="H210" s="15"/>
      <c r="I210" s="59"/>
      <c r="J210" s="63"/>
    </row>
    <row r="211" spans="1:10" ht="30" customHeight="1">
      <c r="A211" s="12"/>
      <c r="B211" s="12"/>
      <c r="C211" s="12"/>
      <c r="D211" s="12"/>
      <c r="E211" s="12"/>
      <c r="F211" s="14"/>
      <c r="G211" s="14"/>
      <c r="H211" s="15"/>
      <c r="I211" s="59"/>
      <c r="J211" s="63"/>
    </row>
    <row r="212" spans="1:10" ht="30" customHeight="1">
      <c r="A212" s="12"/>
      <c r="B212" s="12"/>
      <c r="C212" s="12"/>
      <c r="D212" s="12"/>
      <c r="E212" s="12"/>
      <c r="F212" s="14"/>
      <c r="G212" s="14"/>
      <c r="H212" s="15"/>
      <c r="I212" s="59"/>
      <c r="J212" s="63"/>
    </row>
    <row r="213" spans="1:10" ht="30" customHeight="1">
      <c r="A213" s="12"/>
      <c r="B213" s="12"/>
      <c r="C213" s="12"/>
      <c r="D213" s="12"/>
      <c r="E213" s="12"/>
      <c r="F213" s="14"/>
      <c r="G213" s="14"/>
      <c r="H213" s="15"/>
      <c r="I213" s="59"/>
      <c r="J213" s="63"/>
    </row>
    <row r="214" spans="1:10" ht="30" customHeight="1">
      <c r="A214" s="12"/>
      <c r="B214" s="12"/>
      <c r="C214" s="12"/>
      <c r="D214" s="12"/>
      <c r="E214" s="12"/>
      <c r="F214" s="14"/>
      <c r="G214" s="14"/>
      <c r="H214" s="15"/>
      <c r="I214" s="59"/>
      <c r="J214" s="63"/>
    </row>
    <row r="215" spans="1:10" ht="30" customHeight="1">
      <c r="A215" s="12"/>
      <c r="B215" s="12"/>
      <c r="C215" s="12"/>
      <c r="D215" s="12"/>
      <c r="E215" s="12"/>
      <c r="F215" s="14"/>
      <c r="G215" s="14"/>
      <c r="H215" s="15"/>
      <c r="I215" s="59"/>
      <c r="J215" s="63"/>
    </row>
    <row r="216" spans="1:10" ht="30" customHeight="1">
      <c r="A216" s="12"/>
      <c r="B216" s="12"/>
      <c r="C216" s="12"/>
      <c r="D216" s="12"/>
      <c r="E216" s="12"/>
      <c r="F216" s="14"/>
      <c r="G216" s="14"/>
      <c r="H216" s="15"/>
      <c r="I216" s="59"/>
      <c r="J216" s="63"/>
    </row>
    <row r="217" spans="1:10" ht="30" customHeight="1">
      <c r="A217" s="12"/>
      <c r="B217" s="12"/>
      <c r="C217" s="12"/>
      <c r="D217" s="12"/>
      <c r="E217" s="12"/>
      <c r="F217" s="14"/>
      <c r="G217" s="14"/>
      <c r="H217" s="15"/>
      <c r="I217" s="59"/>
      <c r="J217" s="63"/>
    </row>
    <row r="218" spans="1:10" ht="30" customHeight="1">
      <c r="A218" s="12"/>
      <c r="B218" s="12"/>
      <c r="C218" s="12"/>
      <c r="D218" s="12"/>
      <c r="E218" s="12"/>
      <c r="F218" s="14"/>
      <c r="G218" s="14"/>
      <c r="H218" s="15"/>
      <c r="I218" s="59"/>
      <c r="J218" s="63"/>
    </row>
    <row r="219" spans="1:10" ht="30" customHeight="1">
      <c r="A219" s="12"/>
      <c r="B219" s="12"/>
      <c r="C219" s="12"/>
      <c r="D219" s="12"/>
      <c r="E219" s="12"/>
      <c r="F219" s="14"/>
      <c r="G219" s="14"/>
      <c r="H219" s="15"/>
      <c r="I219" s="59"/>
      <c r="J219" s="63"/>
    </row>
    <row r="220" spans="1:10" ht="30" customHeight="1">
      <c r="A220" s="12"/>
      <c r="B220" s="12"/>
      <c r="C220" s="12"/>
      <c r="D220" s="12"/>
      <c r="E220" s="12"/>
      <c r="F220" s="14"/>
      <c r="G220" s="14"/>
      <c r="H220" s="15"/>
      <c r="I220" s="59"/>
      <c r="J220" s="63"/>
    </row>
    <row r="221" spans="1:10" ht="30" customHeight="1">
      <c r="A221" s="12"/>
      <c r="B221" s="12"/>
      <c r="C221" s="12"/>
      <c r="D221" s="12"/>
      <c r="E221" s="12"/>
      <c r="F221" s="14"/>
      <c r="G221" s="14"/>
      <c r="H221" s="15"/>
      <c r="I221" s="59"/>
      <c r="J221" s="63"/>
    </row>
    <row r="222" spans="1:10" ht="30" customHeight="1">
      <c r="A222" s="12"/>
      <c r="B222" s="12"/>
      <c r="C222" s="12"/>
      <c r="D222" s="12"/>
      <c r="E222" s="12"/>
      <c r="F222" s="14"/>
      <c r="G222" s="14"/>
      <c r="H222" s="15"/>
      <c r="I222" s="59"/>
      <c r="J222" s="63"/>
    </row>
    <row r="223" spans="1:10" ht="30" customHeight="1">
      <c r="A223" s="12"/>
      <c r="B223" s="12"/>
      <c r="C223" s="12"/>
      <c r="D223" s="12"/>
      <c r="E223" s="12"/>
      <c r="F223" s="14"/>
      <c r="G223" s="14"/>
      <c r="H223" s="15"/>
      <c r="I223" s="59"/>
      <c r="J223" s="63"/>
    </row>
    <row r="224" spans="1:10" ht="30" customHeight="1">
      <c r="A224" s="12"/>
      <c r="B224" s="12"/>
      <c r="C224" s="12"/>
      <c r="D224" s="12"/>
      <c r="E224" s="12"/>
      <c r="F224" s="14"/>
      <c r="G224" s="14"/>
      <c r="H224" s="15"/>
      <c r="I224" s="59"/>
      <c r="J224" s="63"/>
    </row>
    <row r="225" spans="1:10" ht="30" customHeight="1">
      <c r="A225" s="12"/>
      <c r="B225" s="12"/>
      <c r="C225" s="12"/>
      <c r="D225" s="12"/>
      <c r="E225" s="12"/>
      <c r="F225" s="14"/>
      <c r="G225" s="14"/>
      <c r="H225" s="15"/>
      <c r="I225" s="59"/>
      <c r="J225" s="63"/>
    </row>
    <row r="226" spans="1:10" ht="30" customHeight="1">
      <c r="A226" s="12"/>
      <c r="B226" s="12"/>
      <c r="C226" s="12"/>
      <c r="D226" s="12"/>
      <c r="E226" s="12"/>
      <c r="F226" s="14"/>
      <c r="G226" s="14"/>
      <c r="H226" s="15"/>
      <c r="I226" s="59"/>
      <c r="J226" s="63"/>
    </row>
    <row r="227" spans="1:10" ht="30" customHeight="1">
      <c r="A227" s="12"/>
      <c r="B227" s="12"/>
      <c r="C227" s="12"/>
      <c r="D227" s="12"/>
      <c r="E227" s="12"/>
      <c r="F227" s="14"/>
      <c r="G227" s="14"/>
      <c r="H227" s="15"/>
      <c r="I227" s="59"/>
      <c r="J227" s="63"/>
    </row>
    <row r="228" spans="1:10" ht="30" customHeight="1">
      <c r="A228" s="12"/>
      <c r="B228" s="12"/>
      <c r="C228" s="12"/>
      <c r="D228" s="12"/>
      <c r="E228" s="12"/>
      <c r="F228" s="14"/>
      <c r="G228" s="14"/>
      <c r="H228" s="15"/>
      <c r="I228" s="59"/>
      <c r="J228" s="63"/>
    </row>
    <row r="229" spans="1:10" ht="30" customHeight="1">
      <c r="A229" s="12"/>
      <c r="B229" s="12"/>
      <c r="C229" s="12"/>
      <c r="D229" s="12"/>
      <c r="E229" s="12"/>
      <c r="F229" s="14"/>
      <c r="G229" s="14"/>
      <c r="H229" s="15"/>
      <c r="I229" s="59"/>
      <c r="J229" s="63"/>
    </row>
    <row r="230" spans="1:10" ht="30" customHeight="1">
      <c r="A230" s="12"/>
      <c r="B230" s="12"/>
      <c r="C230" s="12"/>
      <c r="D230" s="12"/>
      <c r="E230" s="12"/>
      <c r="F230" s="14"/>
      <c r="G230" s="14"/>
      <c r="H230" s="15"/>
      <c r="I230" s="59"/>
      <c r="J230" s="63"/>
    </row>
    <row r="231" spans="1:10" ht="30" customHeight="1">
      <c r="A231" s="12"/>
      <c r="B231" s="12"/>
      <c r="C231" s="12"/>
      <c r="D231" s="12"/>
      <c r="E231" s="12"/>
      <c r="F231" s="14"/>
      <c r="G231" s="14"/>
      <c r="H231" s="15"/>
      <c r="I231" s="59"/>
      <c r="J231" s="63"/>
    </row>
    <row r="232" spans="1:10" ht="30" customHeight="1">
      <c r="A232" s="12"/>
      <c r="B232" s="12"/>
      <c r="C232" s="12"/>
      <c r="D232" s="12"/>
      <c r="E232" s="12"/>
      <c r="F232" s="14"/>
      <c r="G232" s="14"/>
      <c r="H232" s="15"/>
      <c r="I232" s="59"/>
      <c r="J232" s="63"/>
    </row>
    <row r="233" spans="1:10" ht="30" customHeight="1">
      <c r="A233" s="12"/>
      <c r="B233" s="12"/>
      <c r="C233" s="12"/>
      <c r="D233" s="12"/>
      <c r="E233" s="12"/>
      <c r="F233" s="14"/>
      <c r="G233" s="14"/>
      <c r="H233" s="15"/>
      <c r="I233" s="59"/>
      <c r="J233" s="63"/>
    </row>
    <row r="234" spans="1:10" ht="30" customHeight="1">
      <c r="A234" s="12"/>
      <c r="B234" s="12"/>
      <c r="C234" s="12"/>
      <c r="D234" s="12"/>
      <c r="E234" s="12"/>
      <c r="F234" s="14"/>
      <c r="G234" s="14"/>
      <c r="H234" s="15"/>
      <c r="I234" s="59"/>
      <c r="J234" s="63"/>
    </row>
    <row r="235" spans="1:10" ht="30" customHeight="1">
      <c r="A235" s="12"/>
      <c r="B235" s="12"/>
      <c r="C235" s="12"/>
      <c r="D235" s="12"/>
      <c r="E235" s="12"/>
      <c r="F235" s="14"/>
      <c r="G235" s="14"/>
      <c r="H235" s="15"/>
      <c r="I235" s="59"/>
      <c r="J235" s="63"/>
    </row>
    <row r="236" spans="1:10" ht="30" customHeight="1">
      <c r="A236" s="12"/>
      <c r="B236" s="12"/>
      <c r="C236" s="12"/>
      <c r="D236" s="12"/>
      <c r="E236" s="12"/>
      <c r="F236" s="14"/>
      <c r="G236" s="14"/>
      <c r="H236" s="15"/>
      <c r="I236" s="59"/>
      <c r="J236" s="63"/>
    </row>
    <row r="237" spans="1:10" ht="30" customHeight="1">
      <c r="A237" s="12"/>
      <c r="B237" s="12"/>
      <c r="C237" s="12"/>
      <c r="D237" s="12"/>
      <c r="E237" s="12"/>
      <c r="F237" s="14"/>
      <c r="G237" s="14"/>
      <c r="H237" s="15"/>
      <c r="I237" s="59"/>
      <c r="J237" s="63"/>
    </row>
    <row r="238" spans="1:10" ht="30" customHeight="1">
      <c r="A238" s="12"/>
      <c r="B238" s="12"/>
      <c r="C238" s="12"/>
      <c r="D238" s="12"/>
      <c r="E238" s="12"/>
      <c r="F238" s="14"/>
      <c r="G238" s="14"/>
      <c r="H238" s="15"/>
      <c r="I238" s="59"/>
      <c r="J238" s="63"/>
    </row>
    <row r="239" spans="1:10" ht="30" customHeight="1">
      <c r="A239" s="12"/>
      <c r="B239" s="12"/>
      <c r="C239" s="12"/>
      <c r="D239" s="12"/>
      <c r="E239" s="12"/>
      <c r="F239" s="14"/>
      <c r="G239" s="14"/>
      <c r="H239" s="15"/>
      <c r="I239" s="59"/>
      <c r="J239" s="63"/>
    </row>
    <row r="240" spans="1:10" ht="30" customHeight="1">
      <c r="A240" s="12"/>
      <c r="B240" s="12"/>
      <c r="C240" s="12"/>
      <c r="D240" s="12"/>
      <c r="E240" s="12"/>
      <c r="F240" s="14"/>
      <c r="G240" s="14"/>
      <c r="H240" s="15"/>
      <c r="I240" s="59"/>
      <c r="J240" s="63"/>
    </row>
    <row r="241" spans="1:10" ht="30" customHeight="1">
      <c r="A241" s="12"/>
      <c r="B241" s="12"/>
      <c r="C241" s="12"/>
      <c r="D241" s="12"/>
      <c r="E241" s="12"/>
      <c r="F241" s="14"/>
      <c r="G241" s="14"/>
      <c r="H241" s="15"/>
      <c r="I241" s="59"/>
      <c r="J241" s="63"/>
    </row>
    <row r="242" spans="1:10" ht="30" customHeight="1">
      <c r="A242" s="12"/>
      <c r="B242" s="12"/>
      <c r="C242" s="12"/>
      <c r="D242" s="12"/>
      <c r="E242" s="12"/>
      <c r="F242" s="14"/>
      <c r="G242" s="14"/>
      <c r="H242" s="15"/>
      <c r="I242" s="59"/>
      <c r="J242" s="63"/>
    </row>
    <row r="243" spans="1:10" ht="30" customHeight="1">
      <c r="A243" s="12"/>
      <c r="B243" s="12"/>
      <c r="C243" s="12"/>
      <c r="D243" s="12"/>
      <c r="E243" s="12"/>
      <c r="F243" s="14"/>
      <c r="G243" s="14"/>
      <c r="H243" s="15"/>
      <c r="I243" s="59"/>
      <c r="J243" s="63"/>
    </row>
    <row r="244" spans="1:10" ht="30" customHeight="1">
      <c r="A244" s="12"/>
      <c r="B244" s="12"/>
      <c r="C244" s="12"/>
      <c r="D244" s="12"/>
      <c r="E244" s="12"/>
      <c r="F244" s="14"/>
      <c r="G244" s="14"/>
      <c r="H244" s="15"/>
      <c r="I244" s="59"/>
      <c r="J244" s="63"/>
    </row>
    <row r="245" spans="1:10" ht="30" customHeight="1">
      <c r="A245" s="12"/>
      <c r="B245" s="12"/>
      <c r="C245" s="12"/>
      <c r="D245" s="12"/>
      <c r="E245" s="12"/>
      <c r="F245" s="14"/>
      <c r="G245" s="14"/>
      <c r="H245" s="15"/>
      <c r="I245" s="59"/>
      <c r="J245" s="63"/>
    </row>
    <row r="246" spans="1:10" ht="30" customHeight="1">
      <c r="A246" s="12"/>
      <c r="B246" s="12"/>
      <c r="C246" s="12"/>
      <c r="D246" s="12"/>
      <c r="E246" s="12"/>
      <c r="F246" s="14"/>
      <c r="G246" s="14"/>
      <c r="H246" s="15"/>
      <c r="I246" s="59"/>
      <c r="J246" s="63"/>
    </row>
    <row r="247" spans="1:10" ht="30" customHeight="1">
      <c r="A247" s="12"/>
      <c r="B247" s="12"/>
      <c r="C247" s="12"/>
      <c r="D247" s="12"/>
      <c r="E247" s="12"/>
      <c r="F247" s="14"/>
      <c r="G247" s="14"/>
      <c r="H247" s="15"/>
      <c r="I247" s="59"/>
      <c r="J247" s="63"/>
    </row>
    <row r="248" spans="1:10" ht="30" customHeight="1">
      <c r="A248" s="12"/>
      <c r="B248" s="12"/>
      <c r="C248" s="12"/>
      <c r="D248" s="12"/>
      <c r="E248" s="12"/>
      <c r="F248" s="14"/>
      <c r="G248" s="14"/>
      <c r="H248" s="15"/>
      <c r="I248" s="59"/>
      <c r="J248" s="63"/>
    </row>
    <row r="249" spans="1:10" ht="30" customHeight="1">
      <c r="A249" s="12"/>
      <c r="B249" s="12"/>
      <c r="C249" s="12"/>
      <c r="D249" s="12"/>
      <c r="E249" s="12"/>
      <c r="F249" s="14"/>
      <c r="G249" s="14"/>
      <c r="H249" s="15"/>
      <c r="I249" s="59"/>
      <c r="J249" s="63"/>
    </row>
    <row r="250" spans="1:10" ht="30" customHeight="1">
      <c r="A250" s="12"/>
      <c r="B250" s="12"/>
      <c r="C250" s="12"/>
      <c r="D250" s="12"/>
      <c r="E250" s="12"/>
      <c r="F250" s="14"/>
      <c r="G250" s="14"/>
      <c r="H250" s="15"/>
      <c r="I250" s="59"/>
      <c r="J250" s="63"/>
    </row>
    <row r="251" spans="1:10" ht="30" customHeight="1">
      <c r="A251" s="12"/>
      <c r="B251" s="12"/>
      <c r="C251" s="12"/>
      <c r="D251" s="12"/>
      <c r="E251" s="12"/>
      <c r="F251" s="14"/>
      <c r="G251" s="14"/>
      <c r="H251" s="15"/>
      <c r="I251" s="59"/>
      <c r="J251" s="63"/>
    </row>
    <row r="252" spans="1:10" ht="30" customHeight="1">
      <c r="A252" s="12"/>
      <c r="B252" s="12"/>
      <c r="C252" s="12"/>
      <c r="D252" s="12"/>
      <c r="E252" s="12"/>
      <c r="F252" s="14"/>
      <c r="G252" s="14"/>
      <c r="H252" s="15"/>
      <c r="I252" s="59"/>
      <c r="J252" s="63"/>
    </row>
    <row r="253" spans="1:10" ht="30" customHeight="1">
      <c r="A253" s="12"/>
      <c r="B253" s="12"/>
      <c r="C253" s="12"/>
      <c r="D253" s="12"/>
      <c r="E253" s="12"/>
      <c r="F253" s="14"/>
      <c r="G253" s="14"/>
      <c r="H253" s="15"/>
      <c r="I253" s="59"/>
      <c r="J253" s="63"/>
    </row>
    <row r="254" spans="1:10" ht="30" customHeight="1">
      <c r="A254" s="12"/>
      <c r="B254" s="12"/>
      <c r="C254" s="12"/>
      <c r="D254" s="12"/>
      <c r="E254" s="12"/>
      <c r="F254" s="14"/>
      <c r="G254" s="14"/>
      <c r="H254" s="15"/>
      <c r="I254" s="59"/>
      <c r="J254" s="63"/>
    </row>
    <row r="255" spans="1:10" ht="30" customHeight="1">
      <c r="A255" s="12"/>
      <c r="B255" s="12"/>
      <c r="C255" s="12"/>
      <c r="D255" s="12"/>
      <c r="E255" s="12"/>
      <c r="F255" s="14"/>
      <c r="G255" s="14"/>
      <c r="H255" s="15"/>
      <c r="I255" s="59"/>
      <c r="J255" s="63"/>
    </row>
    <row r="256" spans="1:10" ht="30" customHeight="1">
      <c r="A256" s="12"/>
      <c r="B256" s="12"/>
      <c r="C256" s="12"/>
      <c r="D256" s="12"/>
      <c r="E256" s="12"/>
      <c r="F256" s="14"/>
      <c r="G256" s="14"/>
      <c r="H256" s="15"/>
      <c r="I256" s="59"/>
      <c r="J256" s="63"/>
    </row>
    <row r="257" spans="1:10" ht="30" customHeight="1">
      <c r="A257" s="12"/>
      <c r="B257" s="12"/>
      <c r="C257" s="12"/>
      <c r="D257" s="12"/>
      <c r="E257" s="12"/>
      <c r="F257" s="14"/>
      <c r="G257" s="14"/>
      <c r="H257" s="15"/>
      <c r="I257" s="59"/>
      <c r="J257" s="63"/>
    </row>
    <row r="258" spans="1:10" ht="30" customHeight="1">
      <c r="A258" s="12"/>
      <c r="B258" s="12"/>
      <c r="C258" s="12"/>
      <c r="D258" s="12"/>
      <c r="E258" s="12"/>
      <c r="F258" s="14"/>
      <c r="G258" s="14"/>
      <c r="H258" s="15"/>
      <c r="I258" s="59"/>
      <c r="J258" s="63"/>
    </row>
    <row r="259" spans="1:10" ht="30" customHeight="1">
      <c r="A259" s="12"/>
      <c r="B259" s="12"/>
      <c r="C259" s="12"/>
      <c r="D259" s="12"/>
      <c r="E259" s="12"/>
      <c r="F259" s="14"/>
      <c r="G259" s="14"/>
      <c r="H259" s="15"/>
      <c r="I259" s="59"/>
      <c r="J259" s="63"/>
    </row>
    <row r="260" spans="1:10" ht="30" customHeight="1">
      <c r="A260" s="12"/>
      <c r="B260" s="12"/>
      <c r="C260" s="12"/>
      <c r="D260" s="12"/>
      <c r="E260" s="12"/>
      <c r="F260" s="14"/>
      <c r="G260" s="14"/>
      <c r="H260" s="15"/>
      <c r="I260" s="59"/>
      <c r="J260" s="63"/>
    </row>
    <row r="261" spans="1:10" ht="30" customHeight="1">
      <c r="A261" s="12"/>
      <c r="B261" s="12"/>
      <c r="C261" s="12"/>
      <c r="D261" s="12"/>
      <c r="E261" s="12"/>
      <c r="F261" s="14"/>
      <c r="G261" s="14"/>
      <c r="H261" s="15"/>
      <c r="I261" s="59"/>
      <c r="J261" s="63"/>
    </row>
    <row r="262" spans="1:10" ht="30" customHeight="1">
      <c r="A262" s="12"/>
      <c r="B262" s="12"/>
      <c r="C262" s="12"/>
      <c r="D262" s="12"/>
      <c r="E262" s="12"/>
      <c r="F262" s="14"/>
      <c r="G262" s="14"/>
      <c r="H262" s="15"/>
      <c r="I262" s="59"/>
      <c r="J262" s="63"/>
    </row>
    <row r="263" spans="1:10" ht="30" customHeight="1">
      <c r="A263" s="12"/>
      <c r="B263" s="12"/>
      <c r="C263" s="12"/>
      <c r="D263" s="12"/>
      <c r="E263" s="12"/>
      <c r="F263" s="14"/>
      <c r="G263" s="14"/>
      <c r="H263" s="15"/>
      <c r="I263" s="59"/>
      <c r="J263" s="63"/>
    </row>
    <row r="264" spans="1:10" ht="30" customHeight="1">
      <c r="A264" s="12"/>
      <c r="B264" s="12"/>
      <c r="C264" s="12"/>
      <c r="D264" s="12"/>
      <c r="E264" s="12"/>
      <c r="F264" s="14"/>
      <c r="G264" s="14"/>
      <c r="H264" s="15"/>
      <c r="I264" s="59"/>
      <c r="J264" s="63"/>
    </row>
    <row r="265" spans="1:10" ht="30" customHeight="1">
      <c r="A265" s="12"/>
      <c r="B265" s="12"/>
      <c r="C265" s="12"/>
      <c r="D265" s="12"/>
      <c r="E265" s="12"/>
      <c r="F265" s="14"/>
      <c r="G265" s="14"/>
      <c r="H265" s="15"/>
      <c r="I265" s="59"/>
      <c r="J265" s="63"/>
    </row>
    <row r="266" spans="1:10" ht="30" customHeight="1">
      <c r="A266" s="12"/>
      <c r="B266" s="12"/>
      <c r="C266" s="12"/>
      <c r="D266" s="12"/>
      <c r="E266" s="12"/>
      <c r="F266" s="14"/>
      <c r="G266" s="14"/>
      <c r="H266" s="15"/>
      <c r="I266" s="59"/>
      <c r="J266" s="63"/>
    </row>
    <row r="267" spans="1:10" ht="30" customHeight="1">
      <c r="A267" s="12"/>
      <c r="B267" s="12"/>
      <c r="C267" s="12"/>
      <c r="D267" s="12"/>
      <c r="E267" s="12"/>
      <c r="F267" s="14"/>
      <c r="G267" s="14"/>
      <c r="H267" s="15"/>
      <c r="I267" s="59"/>
      <c r="J267" s="63"/>
    </row>
    <row r="268" spans="1:10" ht="30" customHeight="1">
      <c r="A268" s="12"/>
      <c r="B268" s="12"/>
      <c r="C268" s="12"/>
      <c r="D268" s="12"/>
      <c r="E268" s="12"/>
      <c r="F268" s="14"/>
      <c r="G268" s="14"/>
      <c r="H268" s="15"/>
      <c r="I268" s="59"/>
      <c r="J268" s="63"/>
    </row>
    <row r="269" spans="1:10" ht="30" customHeight="1">
      <c r="A269" s="12"/>
      <c r="B269" s="12"/>
      <c r="C269" s="12"/>
      <c r="D269" s="12"/>
      <c r="E269" s="12"/>
      <c r="F269" s="14"/>
      <c r="G269" s="14"/>
      <c r="H269" s="15"/>
      <c r="I269" s="59"/>
      <c r="J269" s="63"/>
    </row>
    <row r="270" spans="1:10" ht="30" customHeight="1">
      <c r="A270" s="12"/>
      <c r="B270" s="12"/>
      <c r="C270" s="12"/>
      <c r="D270" s="12"/>
      <c r="E270" s="12"/>
      <c r="F270" s="14"/>
      <c r="G270" s="14"/>
      <c r="H270" s="15"/>
      <c r="I270" s="59"/>
      <c r="J270" s="63"/>
    </row>
    <row r="271" spans="1:10" ht="30" customHeight="1">
      <c r="A271" s="12"/>
      <c r="B271" s="12"/>
      <c r="C271" s="12"/>
      <c r="D271" s="12"/>
      <c r="E271" s="12"/>
      <c r="F271" s="14"/>
      <c r="G271" s="14"/>
      <c r="H271" s="15"/>
      <c r="I271" s="59"/>
      <c r="J271" s="63"/>
    </row>
    <row r="272" spans="1:10" ht="30" customHeight="1">
      <c r="A272" s="12"/>
      <c r="B272" s="12"/>
      <c r="C272" s="12"/>
      <c r="D272" s="12"/>
      <c r="E272" s="12"/>
      <c r="F272" s="14"/>
      <c r="G272" s="14"/>
      <c r="H272" s="15"/>
      <c r="I272" s="59"/>
      <c r="J272" s="63"/>
    </row>
    <row r="273" spans="1:10" ht="30" customHeight="1">
      <c r="A273" s="12"/>
      <c r="B273" s="12"/>
      <c r="C273" s="12"/>
      <c r="D273" s="12"/>
      <c r="E273" s="12"/>
      <c r="F273" s="14"/>
      <c r="G273" s="14"/>
      <c r="H273" s="15"/>
      <c r="I273" s="59"/>
      <c r="J273" s="63"/>
    </row>
    <row r="274" spans="1:10" ht="30" customHeight="1">
      <c r="A274" s="12"/>
      <c r="B274" s="12"/>
      <c r="C274" s="12"/>
      <c r="D274" s="12"/>
      <c r="E274" s="12"/>
      <c r="F274" s="14"/>
      <c r="G274" s="14"/>
      <c r="H274" s="15"/>
      <c r="I274" s="59"/>
      <c r="J274" s="63"/>
    </row>
    <row r="275" spans="1:10" ht="30" customHeight="1">
      <c r="A275" s="12"/>
      <c r="B275" s="12"/>
      <c r="C275" s="12"/>
      <c r="D275" s="12"/>
      <c r="E275" s="12"/>
      <c r="F275" s="14"/>
      <c r="G275" s="14"/>
      <c r="H275" s="15"/>
      <c r="I275" s="59"/>
      <c r="J275" s="63"/>
    </row>
    <row r="276" spans="1:10" ht="30" customHeight="1">
      <c r="A276" s="12"/>
      <c r="B276" s="12"/>
      <c r="C276" s="12"/>
      <c r="D276" s="12"/>
      <c r="E276" s="12"/>
      <c r="F276" s="14"/>
      <c r="G276" s="14"/>
      <c r="H276" s="15"/>
      <c r="I276" s="59"/>
      <c r="J276" s="63"/>
    </row>
    <row r="277" spans="1:10" ht="30" customHeight="1">
      <c r="A277" s="12"/>
      <c r="B277" s="12"/>
      <c r="C277" s="12"/>
      <c r="D277" s="12"/>
      <c r="E277" s="12"/>
      <c r="F277" s="14"/>
      <c r="G277" s="14"/>
      <c r="H277" s="15"/>
      <c r="I277" s="59"/>
      <c r="J277" s="63"/>
    </row>
    <row r="278" spans="1:10" ht="30" customHeight="1">
      <c r="A278" s="12"/>
      <c r="B278" s="12"/>
      <c r="C278" s="12"/>
      <c r="D278" s="12"/>
      <c r="E278" s="12"/>
      <c r="F278" s="14"/>
      <c r="G278" s="14"/>
      <c r="H278" s="15"/>
      <c r="I278" s="59"/>
      <c r="J278" s="63"/>
    </row>
    <row r="279" spans="1:10" ht="30" customHeight="1">
      <c r="A279" s="12"/>
      <c r="B279" s="12"/>
      <c r="C279" s="12"/>
      <c r="D279" s="12"/>
      <c r="E279" s="12"/>
      <c r="F279" s="14"/>
      <c r="G279" s="14"/>
      <c r="H279" s="15"/>
      <c r="I279" s="59"/>
      <c r="J279" s="63"/>
    </row>
    <row r="280" spans="1:10" ht="30" customHeight="1">
      <c r="A280" s="12"/>
      <c r="B280" s="12"/>
      <c r="C280" s="12"/>
      <c r="D280" s="12"/>
      <c r="E280" s="12"/>
      <c r="F280" s="14"/>
      <c r="G280" s="14"/>
      <c r="H280" s="15"/>
      <c r="I280" s="59"/>
      <c r="J280" s="63"/>
    </row>
    <row r="281" spans="1:10" ht="30" customHeight="1">
      <c r="A281" s="12"/>
      <c r="B281" s="12"/>
      <c r="C281" s="12"/>
      <c r="D281" s="12"/>
      <c r="E281" s="12"/>
      <c r="F281" s="14"/>
      <c r="G281" s="14"/>
      <c r="H281" s="15"/>
      <c r="I281" s="59"/>
      <c r="J281" s="63"/>
    </row>
    <row r="282" spans="1:10" ht="30" customHeight="1">
      <c r="A282" s="12"/>
      <c r="B282" s="12"/>
      <c r="C282" s="12"/>
      <c r="D282" s="12"/>
      <c r="E282" s="12"/>
      <c r="F282" s="14"/>
      <c r="G282" s="14"/>
      <c r="H282" s="15"/>
      <c r="I282" s="59"/>
      <c r="J282" s="63"/>
    </row>
    <row r="283" spans="1:10" ht="30" customHeight="1">
      <c r="A283" s="12"/>
      <c r="B283" s="12"/>
      <c r="C283" s="12"/>
      <c r="D283" s="12"/>
      <c r="E283" s="12"/>
      <c r="F283" s="14"/>
      <c r="G283" s="14"/>
      <c r="H283" s="15"/>
      <c r="I283" s="59"/>
      <c r="J283" s="63"/>
    </row>
    <row r="284" spans="1:10" ht="30" customHeight="1">
      <c r="A284" s="12"/>
      <c r="B284" s="12"/>
      <c r="C284" s="12"/>
      <c r="D284" s="12"/>
      <c r="E284" s="12"/>
      <c r="F284" s="14"/>
      <c r="G284" s="14"/>
      <c r="H284" s="15"/>
      <c r="I284" s="59"/>
      <c r="J284" s="63"/>
    </row>
    <row r="285" spans="1:10" ht="30" customHeight="1">
      <c r="A285" s="12"/>
      <c r="B285" s="12"/>
      <c r="C285" s="12"/>
      <c r="D285" s="12"/>
      <c r="E285" s="12"/>
      <c r="F285" s="14"/>
      <c r="G285" s="14"/>
      <c r="H285" s="15"/>
      <c r="I285" s="59"/>
      <c r="J285" s="63"/>
    </row>
    <row r="286" spans="1:10" ht="30" customHeight="1">
      <c r="A286" s="12"/>
      <c r="B286" s="12"/>
      <c r="C286" s="12"/>
      <c r="D286" s="12"/>
      <c r="E286" s="12"/>
      <c r="F286" s="14"/>
      <c r="G286" s="14"/>
      <c r="H286" s="15"/>
      <c r="I286" s="59"/>
      <c r="J286" s="63"/>
    </row>
    <row r="287" spans="1:10" ht="30" customHeight="1">
      <c r="A287" s="12"/>
      <c r="B287" s="12"/>
      <c r="C287" s="12"/>
      <c r="D287" s="12"/>
      <c r="E287" s="12"/>
      <c r="F287" s="14"/>
      <c r="G287" s="14"/>
      <c r="H287" s="15"/>
      <c r="I287" s="59"/>
      <c r="J287" s="63"/>
    </row>
    <row r="288" spans="1:10" ht="30" customHeight="1">
      <c r="A288" s="12"/>
      <c r="B288" s="12"/>
      <c r="C288" s="12"/>
      <c r="D288" s="12"/>
      <c r="E288" s="12"/>
      <c r="F288" s="14"/>
      <c r="G288" s="14"/>
      <c r="H288" s="15"/>
      <c r="I288" s="59"/>
      <c r="J288" s="63"/>
    </row>
    <row r="289" spans="1:10" ht="30" customHeight="1">
      <c r="A289" s="12"/>
      <c r="B289" s="12"/>
      <c r="C289" s="12"/>
      <c r="D289" s="12"/>
      <c r="E289" s="12"/>
      <c r="F289" s="14"/>
      <c r="G289" s="14"/>
      <c r="H289" s="15"/>
      <c r="I289" s="59"/>
      <c r="J289" s="63"/>
    </row>
    <row r="290" spans="1:10" ht="30" customHeight="1">
      <c r="A290" s="12"/>
      <c r="B290" s="12"/>
      <c r="C290" s="12"/>
      <c r="D290" s="12"/>
      <c r="E290" s="12"/>
      <c r="F290" s="14"/>
      <c r="G290" s="14"/>
      <c r="H290" s="15"/>
      <c r="I290" s="59"/>
      <c r="J290" s="63"/>
    </row>
    <row r="291" spans="1:10" ht="30" customHeight="1">
      <c r="A291" s="12"/>
      <c r="B291" s="12"/>
      <c r="C291" s="12"/>
      <c r="D291" s="12"/>
      <c r="E291" s="12"/>
      <c r="F291" s="14"/>
      <c r="G291" s="14"/>
      <c r="H291" s="15"/>
      <c r="I291" s="59"/>
      <c r="J291" s="63"/>
    </row>
    <row r="292" spans="1:10" ht="30" customHeight="1">
      <c r="A292" s="12"/>
      <c r="B292" s="12"/>
      <c r="C292" s="12"/>
      <c r="D292" s="12"/>
      <c r="E292" s="12"/>
      <c r="F292" s="14"/>
      <c r="G292" s="14"/>
      <c r="H292" s="15"/>
      <c r="I292" s="59"/>
      <c r="J292" s="63"/>
    </row>
    <row r="293" spans="1:10" ht="30" customHeight="1">
      <c r="A293" s="12"/>
      <c r="B293" s="12"/>
      <c r="C293" s="12"/>
      <c r="D293" s="12"/>
      <c r="E293" s="12"/>
      <c r="F293" s="14"/>
      <c r="G293" s="14"/>
      <c r="H293" s="15"/>
      <c r="I293" s="59"/>
      <c r="J293" s="63"/>
    </row>
    <row r="294" spans="1:10" ht="30" customHeight="1">
      <c r="A294" s="12"/>
      <c r="B294" s="12"/>
      <c r="C294" s="12"/>
      <c r="D294" s="12"/>
      <c r="E294" s="12"/>
      <c r="F294" s="14"/>
      <c r="G294" s="14"/>
      <c r="H294" s="15"/>
      <c r="I294" s="59"/>
      <c r="J294" s="63"/>
    </row>
    <row r="295" spans="1:10" ht="30" customHeight="1">
      <c r="A295" s="12"/>
      <c r="B295" s="12"/>
      <c r="C295" s="12"/>
      <c r="D295" s="12"/>
      <c r="E295" s="12"/>
      <c r="F295" s="14"/>
      <c r="G295" s="14"/>
      <c r="H295" s="15"/>
      <c r="I295" s="59"/>
      <c r="J295" s="63"/>
    </row>
    <row r="296" spans="1:10" ht="30" customHeight="1">
      <c r="A296" s="12"/>
      <c r="B296" s="12"/>
      <c r="C296" s="12"/>
      <c r="D296" s="12"/>
      <c r="E296" s="12"/>
      <c r="F296" s="14"/>
      <c r="G296" s="14"/>
      <c r="H296" s="15"/>
      <c r="I296" s="59"/>
      <c r="J296" s="63"/>
    </row>
    <row r="297" spans="1:10" ht="30" customHeight="1">
      <c r="A297" s="12"/>
      <c r="B297" s="12"/>
      <c r="C297" s="12"/>
      <c r="D297" s="12"/>
      <c r="E297" s="12"/>
      <c r="F297" s="14"/>
      <c r="G297" s="14"/>
      <c r="H297" s="15"/>
      <c r="I297" s="59"/>
      <c r="J297" s="63"/>
    </row>
    <row r="298" spans="1:10" ht="30" customHeight="1">
      <c r="A298" s="12"/>
      <c r="B298" s="12"/>
      <c r="C298" s="12"/>
      <c r="D298" s="12"/>
      <c r="E298" s="12"/>
      <c r="F298" s="14"/>
      <c r="G298" s="14"/>
      <c r="H298" s="15"/>
      <c r="I298" s="59"/>
      <c r="J298" s="63"/>
    </row>
    <row r="299" spans="1:10" ht="30" customHeight="1">
      <c r="A299" s="12"/>
      <c r="B299" s="12"/>
      <c r="C299" s="12"/>
      <c r="D299" s="12"/>
      <c r="E299" s="12"/>
      <c r="F299" s="14"/>
      <c r="G299" s="14"/>
      <c r="H299" s="15"/>
      <c r="I299" s="59"/>
      <c r="J299" s="63"/>
    </row>
    <row r="300" spans="1:10" ht="30" customHeight="1">
      <c r="A300" s="12"/>
      <c r="B300" s="12"/>
      <c r="C300" s="12"/>
      <c r="D300" s="12"/>
      <c r="E300" s="12"/>
      <c r="F300" s="14"/>
      <c r="G300" s="14"/>
      <c r="H300" s="15"/>
      <c r="I300" s="59"/>
      <c r="J300" s="63"/>
    </row>
    <row r="301" spans="1:10" ht="30" customHeight="1">
      <c r="A301" s="12"/>
      <c r="B301" s="12"/>
      <c r="C301" s="12"/>
      <c r="D301" s="12"/>
      <c r="E301" s="12"/>
      <c r="F301" s="14"/>
      <c r="G301" s="14"/>
      <c r="H301" s="15"/>
      <c r="I301" s="59"/>
      <c r="J301" s="63"/>
    </row>
    <row r="302" spans="1:10" ht="30" customHeight="1">
      <c r="A302" s="12"/>
      <c r="B302" s="12"/>
      <c r="C302" s="12"/>
      <c r="D302" s="12"/>
      <c r="E302" s="12"/>
      <c r="F302" s="14"/>
      <c r="G302" s="14"/>
      <c r="H302" s="15"/>
      <c r="I302" s="59"/>
      <c r="J302" s="63"/>
    </row>
    <row r="303" spans="1:10" ht="30" customHeight="1">
      <c r="A303" s="12"/>
      <c r="B303" s="12"/>
      <c r="C303" s="12"/>
      <c r="D303" s="12"/>
      <c r="E303" s="12"/>
      <c r="F303" s="14"/>
      <c r="G303" s="14"/>
      <c r="H303" s="15"/>
      <c r="I303" s="59"/>
      <c r="J303" s="63"/>
    </row>
    <row r="304" spans="1:10" ht="30" customHeight="1">
      <c r="A304" s="12"/>
      <c r="B304" s="12"/>
      <c r="C304" s="12"/>
      <c r="D304" s="12"/>
      <c r="E304" s="12"/>
      <c r="F304" s="14"/>
      <c r="G304" s="14"/>
      <c r="H304" s="15"/>
      <c r="I304" s="59"/>
      <c r="J304" s="63"/>
    </row>
    <row r="305" spans="1:10" ht="30" customHeight="1">
      <c r="A305" s="12"/>
      <c r="B305" s="12"/>
      <c r="C305" s="12"/>
      <c r="D305" s="12"/>
      <c r="E305" s="12"/>
      <c r="F305" s="14"/>
      <c r="G305" s="14"/>
      <c r="H305" s="15"/>
      <c r="I305" s="59"/>
      <c r="J305" s="63"/>
    </row>
    <row r="306" spans="1:10" ht="30" customHeight="1">
      <c r="A306" s="12"/>
      <c r="B306" s="12"/>
      <c r="C306" s="12"/>
      <c r="D306" s="12"/>
      <c r="E306" s="12"/>
      <c r="F306" s="14"/>
      <c r="G306" s="14"/>
      <c r="H306" s="15"/>
      <c r="I306" s="59"/>
      <c r="J306" s="63"/>
    </row>
    <row r="307" spans="1:10" ht="30" customHeight="1">
      <c r="A307" s="12"/>
      <c r="B307" s="12"/>
      <c r="C307" s="12"/>
      <c r="D307" s="12"/>
      <c r="E307" s="12"/>
      <c r="F307" s="14"/>
      <c r="G307" s="14"/>
      <c r="H307" s="15"/>
      <c r="I307" s="59"/>
      <c r="J307" s="63"/>
    </row>
    <row r="308" spans="1:10" ht="30" customHeight="1">
      <c r="A308" s="12"/>
      <c r="B308" s="12"/>
      <c r="C308" s="12"/>
      <c r="D308" s="12"/>
      <c r="E308" s="12"/>
      <c r="F308" s="14"/>
      <c r="G308" s="14"/>
      <c r="H308" s="15"/>
      <c r="I308" s="59"/>
      <c r="J308" s="63"/>
    </row>
    <row r="309" spans="1:10" ht="30" customHeight="1">
      <c r="A309" s="12"/>
      <c r="B309" s="12"/>
      <c r="C309" s="12"/>
      <c r="D309" s="12"/>
      <c r="E309" s="12"/>
      <c r="F309" s="14"/>
      <c r="G309" s="14"/>
      <c r="H309" s="15"/>
      <c r="I309" s="59"/>
      <c r="J309" s="63"/>
    </row>
    <row r="310" spans="1:10" ht="30" customHeight="1">
      <c r="A310" s="12"/>
      <c r="B310" s="12"/>
      <c r="C310" s="12"/>
      <c r="D310" s="12"/>
      <c r="E310" s="12"/>
      <c r="F310" s="14"/>
      <c r="G310" s="14"/>
      <c r="H310" s="15"/>
      <c r="I310" s="59"/>
      <c r="J310" s="63"/>
    </row>
    <row r="311" spans="1:10" ht="30" customHeight="1">
      <c r="A311" s="12"/>
      <c r="B311" s="12"/>
      <c r="C311" s="12"/>
      <c r="D311" s="12"/>
      <c r="E311" s="12"/>
      <c r="F311" s="14"/>
      <c r="G311" s="14"/>
      <c r="H311" s="15"/>
      <c r="I311" s="59"/>
      <c r="J311" s="63"/>
    </row>
    <row r="312" spans="1:10" ht="30" customHeight="1">
      <c r="A312" s="12"/>
      <c r="B312" s="12"/>
      <c r="C312" s="12"/>
      <c r="D312" s="12"/>
      <c r="E312" s="12"/>
      <c r="F312" s="14"/>
      <c r="G312" s="14"/>
      <c r="H312" s="15"/>
      <c r="I312" s="59"/>
      <c r="J312" s="63"/>
    </row>
    <row r="313" spans="1:10" ht="30" customHeight="1">
      <c r="A313" s="12"/>
      <c r="B313" s="12"/>
      <c r="C313" s="12"/>
      <c r="D313" s="12"/>
      <c r="E313" s="12"/>
      <c r="F313" s="14"/>
      <c r="G313" s="14"/>
      <c r="H313" s="15"/>
      <c r="I313" s="59"/>
      <c r="J313" s="63"/>
    </row>
    <row r="314" spans="1:10" ht="30" customHeight="1">
      <c r="A314" s="12"/>
      <c r="B314" s="12"/>
      <c r="C314" s="12"/>
      <c r="D314" s="12"/>
      <c r="E314" s="12"/>
      <c r="F314" s="14"/>
      <c r="G314" s="14"/>
      <c r="H314" s="15"/>
      <c r="I314" s="59"/>
      <c r="J314" s="63"/>
    </row>
    <row r="315" spans="1:10" ht="30" customHeight="1">
      <c r="A315" s="12"/>
      <c r="B315" s="12"/>
      <c r="C315" s="12"/>
      <c r="D315" s="12"/>
      <c r="E315" s="12"/>
      <c r="F315" s="14"/>
      <c r="G315" s="14"/>
      <c r="H315" s="15"/>
      <c r="I315" s="59"/>
      <c r="J315" s="63"/>
    </row>
    <row r="316" spans="1:10" ht="30" customHeight="1">
      <c r="A316" s="12"/>
      <c r="B316" s="12"/>
      <c r="C316" s="12"/>
      <c r="D316" s="12"/>
      <c r="E316" s="12"/>
      <c r="F316" s="14"/>
      <c r="G316" s="14"/>
      <c r="H316" s="15"/>
      <c r="I316" s="59"/>
      <c r="J316" s="63"/>
    </row>
    <row r="317" spans="1:10" ht="30" customHeight="1">
      <c r="A317" s="12"/>
      <c r="B317" s="12"/>
      <c r="C317" s="12"/>
      <c r="D317" s="12"/>
      <c r="E317" s="12"/>
      <c r="F317" s="14"/>
      <c r="G317" s="14"/>
      <c r="H317" s="15"/>
      <c r="I317" s="59"/>
      <c r="J317" s="63"/>
    </row>
    <row r="318" spans="1:10" ht="30" customHeight="1">
      <c r="A318" s="12"/>
      <c r="B318" s="12"/>
      <c r="C318" s="12"/>
      <c r="D318" s="12"/>
      <c r="E318" s="12"/>
      <c r="F318" s="14"/>
      <c r="G318" s="14"/>
      <c r="H318" s="15"/>
      <c r="I318" s="59"/>
      <c r="J318" s="63"/>
    </row>
    <row r="319" spans="1:10" ht="30" customHeight="1">
      <c r="A319" s="12"/>
      <c r="B319" s="12"/>
      <c r="C319" s="12"/>
      <c r="D319" s="12"/>
      <c r="E319" s="12"/>
      <c r="F319" s="14"/>
      <c r="G319" s="14"/>
      <c r="H319" s="15"/>
      <c r="I319" s="59"/>
      <c r="J319" s="63"/>
    </row>
    <row r="320" spans="1:10" ht="30" customHeight="1">
      <c r="A320" s="12"/>
      <c r="B320" s="12"/>
      <c r="C320" s="12"/>
      <c r="D320" s="12"/>
      <c r="E320" s="12"/>
      <c r="F320" s="14"/>
      <c r="G320" s="14"/>
      <c r="H320" s="15"/>
      <c r="I320" s="59"/>
      <c r="J320" s="63"/>
    </row>
    <row r="321" spans="1:10" ht="30" customHeight="1">
      <c r="A321" s="12"/>
      <c r="B321" s="12"/>
      <c r="C321" s="12"/>
      <c r="D321" s="12"/>
      <c r="E321" s="12"/>
      <c r="F321" s="14"/>
      <c r="G321" s="14"/>
      <c r="H321" s="15"/>
      <c r="I321" s="59"/>
      <c r="J321" s="63"/>
    </row>
    <row r="322" spans="1:10" ht="30" customHeight="1">
      <c r="A322" s="12"/>
      <c r="B322" s="12"/>
      <c r="C322" s="12"/>
      <c r="D322" s="12"/>
      <c r="E322" s="12"/>
      <c r="F322" s="14"/>
      <c r="G322" s="14"/>
      <c r="H322" s="15"/>
      <c r="I322" s="59"/>
      <c r="J322" s="63"/>
    </row>
    <row r="323" spans="1:10" ht="30" customHeight="1">
      <c r="A323" s="12"/>
      <c r="B323" s="12"/>
      <c r="C323" s="12"/>
      <c r="D323" s="12"/>
      <c r="E323" s="12"/>
      <c r="F323" s="14"/>
      <c r="G323" s="14"/>
      <c r="H323" s="15"/>
      <c r="I323" s="59"/>
      <c r="J323" s="63"/>
    </row>
    <row r="324" spans="1:10" ht="30" customHeight="1">
      <c r="A324" s="12"/>
      <c r="B324" s="12"/>
      <c r="C324" s="12"/>
      <c r="D324" s="12"/>
      <c r="E324" s="12"/>
      <c r="F324" s="14"/>
      <c r="G324" s="14"/>
      <c r="H324" s="15"/>
      <c r="I324" s="59"/>
      <c r="J324" s="63"/>
    </row>
    <row r="325" spans="1:10" ht="30" customHeight="1">
      <c r="A325" s="12"/>
      <c r="B325" s="12"/>
      <c r="C325" s="12"/>
      <c r="D325" s="12"/>
      <c r="E325" s="12"/>
      <c r="F325" s="14"/>
      <c r="G325" s="14"/>
      <c r="H325" s="15"/>
      <c r="I325" s="59"/>
      <c r="J325" s="63"/>
    </row>
    <row r="326" spans="1:10" ht="30" customHeight="1">
      <c r="A326" s="12"/>
      <c r="B326" s="12"/>
      <c r="C326" s="12"/>
      <c r="D326" s="12"/>
      <c r="E326" s="12"/>
      <c r="F326" s="14"/>
      <c r="G326" s="14"/>
      <c r="H326" s="15"/>
      <c r="I326" s="59"/>
      <c r="J326" s="63"/>
    </row>
    <row r="327" spans="1:10" ht="30" customHeight="1">
      <c r="A327" s="12"/>
      <c r="B327" s="12"/>
      <c r="C327" s="12"/>
      <c r="D327" s="12"/>
      <c r="E327" s="12"/>
      <c r="F327" s="14"/>
      <c r="G327" s="14"/>
      <c r="H327" s="15"/>
      <c r="I327" s="59"/>
      <c r="J327" s="63"/>
    </row>
    <row r="328" spans="1:10" ht="30" customHeight="1">
      <c r="A328" s="12"/>
      <c r="B328" s="12"/>
      <c r="C328" s="12"/>
      <c r="D328" s="12"/>
      <c r="E328" s="12"/>
      <c r="F328" s="14"/>
      <c r="G328" s="14"/>
      <c r="H328" s="15"/>
      <c r="I328" s="59"/>
      <c r="J328" s="63"/>
    </row>
    <row r="329" spans="1:10" ht="30" customHeight="1">
      <c r="A329" s="12"/>
      <c r="B329" s="12"/>
      <c r="C329" s="12"/>
      <c r="D329" s="12"/>
      <c r="E329" s="12"/>
      <c r="F329" s="14"/>
      <c r="G329" s="14"/>
      <c r="H329" s="15"/>
      <c r="I329" s="59"/>
      <c r="J329" s="63"/>
    </row>
    <row r="330" spans="1:10" ht="30" customHeight="1">
      <c r="A330" s="12"/>
      <c r="B330" s="12"/>
      <c r="C330" s="12"/>
      <c r="D330" s="12"/>
      <c r="E330" s="12"/>
      <c r="F330" s="14"/>
      <c r="G330" s="14"/>
      <c r="H330" s="15"/>
      <c r="I330" s="59"/>
      <c r="J330" s="63"/>
    </row>
    <row r="331" spans="1:10" ht="30" customHeight="1">
      <c r="A331" s="12"/>
      <c r="B331" s="12"/>
      <c r="C331" s="12"/>
      <c r="D331" s="12"/>
      <c r="E331" s="12"/>
      <c r="F331" s="14"/>
      <c r="G331" s="14"/>
      <c r="H331" s="15"/>
      <c r="I331" s="59"/>
      <c r="J331" s="63"/>
    </row>
    <row r="332" spans="1:10" ht="30" customHeight="1">
      <c r="A332" s="12"/>
      <c r="B332" s="12"/>
      <c r="C332" s="12"/>
      <c r="D332" s="12"/>
      <c r="E332" s="12"/>
      <c r="F332" s="14"/>
      <c r="G332" s="14"/>
      <c r="H332" s="15"/>
      <c r="I332" s="59"/>
      <c r="J332" s="63"/>
    </row>
    <row r="333" spans="1:10" ht="30" customHeight="1">
      <c r="A333" s="12"/>
      <c r="B333" s="12"/>
      <c r="C333" s="12"/>
      <c r="D333" s="12"/>
      <c r="E333" s="12"/>
      <c r="F333" s="14"/>
      <c r="G333" s="14"/>
      <c r="H333" s="15"/>
      <c r="I333" s="59"/>
      <c r="J333" s="63"/>
    </row>
    <row r="334" spans="1:10" ht="30" customHeight="1">
      <c r="A334" s="12"/>
      <c r="B334" s="12"/>
      <c r="C334" s="12"/>
      <c r="D334" s="12"/>
      <c r="E334" s="12"/>
      <c r="F334" s="14"/>
      <c r="G334" s="14"/>
      <c r="H334" s="15"/>
      <c r="I334" s="59"/>
      <c r="J334" s="63"/>
    </row>
    <row r="335" spans="1:10" ht="30" customHeight="1">
      <c r="A335" s="12"/>
      <c r="B335" s="12"/>
      <c r="C335" s="12"/>
      <c r="D335" s="12"/>
      <c r="E335" s="12"/>
      <c r="F335" s="14"/>
      <c r="G335" s="14"/>
      <c r="H335" s="15"/>
      <c r="I335" s="59"/>
      <c r="J335" s="63"/>
    </row>
    <row r="336" spans="1:10" ht="30" customHeight="1">
      <c r="A336" s="12"/>
      <c r="B336" s="12"/>
      <c r="C336" s="12"/>
      <c r="D336" s="12"/>
      <c r="E336" s="12"/>
      <c r="F336" s="14"/>
      <c r="G336" s="14"/>
      <c r="H336" s="15"/>
      <c r="I336" s="59"/>
      <c r="J336" s="63"/>
    </row>
    <row r="337" spans="1:10" ht="30" customHeight="1">
      <c r="A337" s="12"/>
      <c r="B337" s="12"/>
      <c r="C337" s="12"/>
      <c r="D337" s="12"/>
      <c r="E337" s="12"/>
      <c r="F337" s="14"/>
      <c r="G337" s="14"/>
      <c r="H337" s="15"/>
      <c r="I337" s="59"/>
      <c r="J337" s="63"/>
    </row>
    <row r="338" spans="1:10" ht="30" customHeight="1">
      <c r="A338" s="12"/>
      <c r="B338" s="12"/>
      <c r="C338" s="12"/>
      <c r="D338" s="12"/>
      <c r="E338" s="12"/>
      <c r="F338" s="14"/>
      <c r="G338" s="14"/>
      <c r="H338" s="15"/>
      <c r="I338" s="59"/>
      <c r="J338" s="63"/>
    </row>
    <row r="339" spans="1:10" ht="30" customHeight="1">
      <c r="A339" s="12"/>
      <c r="B339" s="12"/>
      <c r="C339" s="12"/>
      <c r="D339" s="12"/>
      <c r="E339" s="12"/>
      <c r="F339" s="14"/>
      <c r="G339" s="14"/>
      <c r="H339" s="15"/>
      <c r="I339" s="59"/>
      <c r="J339" s="63"/>
    </row>
    <row r="340" spans="1:10" ht="30" customHeight="1">
      <c r="A340" s="12"/>
      <c r="B340" s="12"/>
      <c r="C340" s="12"/>
      <c r="D340" s="12"/>
      <c r="E340" s="12"/>
      <c r="F340" s="14"/>
      <c r="G340" s="14"/>
      <c r="H340" s="15"/>
      <c r="I340" s="59"/>
      <c r="J340" s="63"/>
    </row>
    <row r="341" spans="1:10" ht="30" customHeight="1">
      <c r="A341" s="12"/>
      <c r="B341" s="12"/>
      <c r="C341" s="12"/>
      <c r="D341" s="12"/>
      <c r="E341" s="12"/>
      <c r="F341" s="14"/>
      <c r="G341" s="14"/>
      <c r="H341" s="15"/>
      <c r="I341" s="59"/>
      <c r="J341" s="63"/>
    </row>
    <row r="342" spans="1:10" ht="30" customHeight="1">
      <c r="A342" s="12"/>
      <c r="B342" s="12"/>
      <c r="C342" s="12"/>
      <c r="D342" s="12"/>
      <c r="E342" s="12"/>
      <c r="F342" s="14"/>
      <c r="G342" s="14"/>
      <c r="H342" s="15"/>
      <c r="I342" s="59"/>
      <c r="J342" s="63"/>
    </row>
    <row r="343" spans="1:10" ht="30" customHeight="1">
      <c r="A343" s="12"/>
      <c r="B343" s="12"/>
      <c r="C343" s="12"/>
      <c r="D343" s="12"/>
      <c r="E343" s="12"/>
      <c r="F343" s="14"/>
      <c r="G343" s="14"/>
      <c r="H343" s="15"/>
      <c r="I343" s="59"/>
      <c r="J343" s="63"/>
    </row>
    <row r="344" spans="1:10" ht="30" customHeight="1">
      <c r="A344" s="12"/>
      <c r="B344" s="12"/>
      <c r="C344" s="12"/>
      <c r="D344" s="12"/>
      <c r="E344" s="12"/>
      <c r="F344" s="14"/>
      <c r="G344" s="14"/>
      <c r="H344" s="15"/>
      <c r="I344" s="59"/>
      <c r="J344" s="63"/>
    </row>
    <row r="345" spans="1:10" ht="30" customHeight="1">
      <c r="A345" s="12"/>
      <c r="B345" s="12"/>
      <c r="C345" s="12"/>
      <c r="D345" s="12"/>
      <c r="E345" s="12"/>
      <c r="F345" s="14"/>
      <c r="G345" s="14"/>
      <c r="H345" s="15"/>
      <c r="I345" s="59"/>
      <c r="J345" s="63"/>
    </row>
    <row r="346" spans="1:10" ht="30" customHeight="1">
      <c r="A346" s="12"/>
      <c r="B346" s="12"/>
      <c r="C346" s="12"/>
      <c r="D346" s="12"/>
      <c r="E346" s="12"/>
      <c r="F346" s="14"/>
      <c r="G346" s="14"/>
      <c r="H346" s="15"/>
      <c r="I346" s="59"/>
      <c r="J346" s="63"/>
    </row>
    <row r="347" spans="1:10" ht="30" customHeight="1">
      <c r="A347" s="12"/>
      <c r="B347" s="12"/>
      <c r="C347" s="12"/>
      <c r="D347" s="12"/>
      <c r="E347" s="12"/>
      <c r="F347" s="14"/>
      <c r="G347" s="14"/>
      <c r="H347" s="15"/>
      <c r="I347" s="59"/>
      <c r="J347" s="63"/>
    </row>
    <row r="348" spans="1:10" ht="30" customHeight="1">
      <c r="A348" s="12"/>
      <c r="B348" s="12"/>
      <c r="C348" s="12"/>
      <c r="D348" s="12"/>
      <c r="E348" s="12"/>
      <c r="F348" s="14"/>
      <c r="G348" s="14"/>
      <c r="H348" s="15"/>
      <c r="I348" s="59"/>
      <c r="J348" s="63"/>
    </row>
    <row r="349" spans="1:10" ht="30" customHeight="1">
      <c r="A349" s="12"/>
      <c r="B349" s="12"/>
      <c r="C349" s="12"/>
      <c r="D349" s="12"/>
      <c r="E349" s="12"/>
      <c r="F349" s="14"/>
      <c r="G349" s="14"/>
      <c r="H349" s="15"/>
      <c r="I349" s="59"/>
      <c r="J349" s="63"/>
    </row>
    <row r="350" spans="1:10" ht="30" customHeight="1">
      <c r="A350" s="12"/>
      <c r="B350" s="12"/>
      <c r="C350" s="12"/>
      <c r="D350" s="12"/>
      <c r="E350" s="12"/>
      <c r="F350" s="14"/>
      <c r="G350" s="14"/>
      <c r="H350" s="15"/>
      <c r="I350" s="59"/>
      <c r="J350" s="63"/>
    </row>
    <row r="351" spans="1:10" ht="30" customHeight="1">
      <c r="A351" s="12"/>
      <c r="B351" s="12"/>
      <c r="C351" s="12"/>
      <c r="D351" s="12"/>
      <c r="E351" s="12"/>
      <c r="F351" s="14"/>
      <c r="G351" s="14"/>
      <c r="H351" s="15"/>
      <c r="I351" s="59"/>
      <c r="J351" s="63"/>
    </row>
    <row r="352" spans="1:10" ht="30" customHeight="1">
      <c r="A352" s="12"/>
      <c r="B352" s="12"/>
      <c r="C352" s="12"/>
      <c r="D352" s="12"/>
      <c r="E352" s="12"/>
      <c r="F352" s="14"/>
      <c r="G352" s="14"/>
      <c r="H352" s="15"/>
      <c r="I352" s="59"/>
      <c r="J352" s="63"/>
    </row>
    <row r="353" spans="1:10" ht="30" customHeight="1">
      <c r="A353" s="12"/>
      <c r="B353" s="12"/>
      <c r="C353" s="12"/>
      <c r="D353" s="12"/>
      <c r="E353" s="12"/>
      <c r="F353" s="14"/>
      <c r="G353" s="14"/>
      <c r="H353" s="15"/>
      <c r="I353" s="59"/>
      <c r="J353" s="63"/>
    </row>
    <row r="354" spans="1:10" ht="30" customHeight="1">
      <c r="A354" s="12"/>
      <c r="B354" s="12"/>
      <c r="C354" s="12"/>
      <c r="D354" s="12"/>
      <c r="E354" s="12"/>
      <c r="F354" s="14"/>
      <c r="G354" s="14"/>
      <c r="H354" s="15"/>
      <c r="I354" s="59"/>
      <c r="J354" s="63"/>
    </row>
    <row r="355" spans="1:10" ht="30" customHeight="1">
      <c r="A355" s="12"/>
      <c r="B355" s="12"/>
      <c r="C355" s="12"/>
      <c r="D355" s="12"/>
      <c r="E355" s="12"/>
      <c r="F355" s="14"/>
      <c r="G355" s="14"/>
      <c r="H355" s="15"/>
      <c r="I355" s="59"/>
      <c r="J355" s="63"/>
    </row>
    <row r="356" spans="1:10" ht="30" customHeight="1">
      <c r="A356" s="12"/>
      <c r="B356" s="12"/>
      <c r="C356" s="12"/>
      <c r="D356" s="12"/>
      <c r="E356" s="12"/>
      <c r="F356" s="14"/>
      <c r="G356" s="14"/>
      <c r="H356" s="15"/>
      <c r="I356" s="59"/>
      <c r="J356" s="63"/>
    </row>
    <row r="357" spans="1:10" ht="30" customHeight="1">
      <c r="A357" s="12"/>
      <c r="B357" s="12"/>
      <c r="C357" s="12"/>
      <c r="D357" s="12"/>
      <c r="E357" s="12"/>
      <c r="F357" s="14"/>
      <c r="G357" s="14"/>
      <c r="H357" s="15"/>
      <c r="I357" s="59"/>
      <c r="J357" s="63"/>
    </row>
    <row r="358" spans="1:10" ht="30" customHeight="1">
      <c r="A358" s="12"/>
      <c r="B358" s="12"/>
      <c r="C358" s="12"/>
      <c r="D358" s="12"/>
      <c r="E358" s="12"/>
      <c r="F358" s="14"/>
      <c r="G358" s="14"/>
      <c r="H358" s="15"/>
      <c r="I358" s="59"/>
      <c r="J358" s="63"/>
    </row>
    <row r="359" spans="1:10" ht="30" customHeight="1">
      <c r="A359" s="12"/>
      <c r="B359" s="12"/>
      <c r="C359" s="12"/>
      <c r="D359" s="12"/>
      <c r="E359" s="12"/>
      <c r="F359" s="14"/>
      <c r="G359" s="14"/>
      <c r="H359" s="15"/>
      <c r="I359" s="59"/>
      <c r="J359" s="63"/>
    </row>
    <row r="360" spans="1:10" ht="30" customHeight="1">
      <c r="A360" s="12"/>
      <c r="B360" s="12"/>
      <c r="C360" s="12"/>
      <c r="D360" s="12"/>
      <c r="E360" s="12"/>
      <c r="F360" s="14"/>
      <c r="G360" s="14"/>
      <c r="H360" s="15"/>
      <c r="I360" s="59"/>
      <c r="J360" s="63"/>
    </row>
    <row r="361" spans="1:10" ht="30" customHeight="1">
      <c r="A361" s="12"/>
      <c r="B361" s="12"/>
      <c r="C361" s="12"/>
      <c r="D361" s="12"/>
      <c r="E361" s="12"/>
      <c r="F361" s="14"/>
      <c r="G361" s="14"/>
      <c r="H361" s="15"/>
      <c r="I361" s="59"/>
      <c r="J361" s="63"/>
    </row>
    <row r="362" spans="1:10" ht="30" customHeight="1">
      <c r="A362" s="12"/>
      <c r="B362" s="12"/>
      <c r="C362" s="12"/>
      <c r="D362" s="12"/>
      <c r="E362" s="12"/>
      <c r="F362" s="14"/>
      <c r="G362" s="14"/>
      <c r="H362" s="15"/>
      <c r="I362" s="59"/>
      <c r="J362" s="63"/>
    </row>
    <row r="363" spans="1:10" ht="30" customHeight="1">
      <c r="A363" s="12"/>
      <c r="B363" s="12"/>
      <c r="C363" s="12"/>
      <c r="D363" s="12"/>
      <c r="E363" s="12"/>
      <c r="F363" s="14"/>
      <c r="G363" s="14"/>
      <c r="H363" s="15"/>
      <c r="I363" s="59"/>
      <c r="J363" s="63"/>
    </row>
    <row r="364" spans="1:10" ht="30" customHeight="1">
      <c r="A364" s="12"/>
      <c r="B364" s="12"/>
      <c r="C364" s="12"/>
      <c r="D364" s="12"/>
      <c r="E364" s="12"/>
      <c r="F364" s="14"/>
      <c r="G364" s="14"/>
      <c r="H364" s="15"/>
      <c r="I364" s="59"/>
      <c r="J364" s="63"/>
    </row>
    <row r="365" spans="1:10" ht="30" customHeight="1">
      <c r="A365" s="12"/>
      <c r="B365" s="12"/>
      <c r="C365" s="12"/>
      <c r="D365" s="12"/>
      <c r="E365" s="12"/>
      <c r="F365" s="14"/>
      <c r="G365" s="14"/>
      <c r="H365" s="15"/>
      <c r="I365" s="59"/>
      <c r="J365" s="63"/>
    </row>
    <row r="366" spans="1:10" ht="30" customHeight="1">
      <c r="A366" s="12"/>
      <c r="B366" s="12"/>
      <c r="C366" s="12"/>
      <c r="D366" s="12"/>
      <c r="E366" s="12"/>
      <c r="F366" s="14"/>
      <c r="G366" s="14"/>
      <c r="H366" s="15"/>
      <c r="I366" s="59"/>
      <c r="J366" s="63"/>
    </row>
    <row r="367" spans="1:10" ht="30" customHeight="1">
      <c r="A367" s="12"/>
      <c r="B367" s="12"/>
      <c r="C367" s="12"/>
      <c r="D367" s="12"/>
      <c r="E367" s="12"/>
      <c r="F367" s="14"/>
      <c r="G367" s="14"/>
      <c r="H367" s="15"/>
      <c r="I367" s="59"/>
      <c r="J367" s="63"/>
    </row>
    <row r="368" spans="1:10" ht="30" customHeight="1">
      <c r="A368" s="12"/>
      <c r="B368" s="12"/>
      <c r="C368" s="12"/>
      <c r="D368" s="12"/>
      <c r="E368" s="12"/>
      <c r="F368" s="14"/>
      <c r="G368" s="14"/>
      <c r="H368" s="15"/>
      <c r="I368" s="59"/>
      <c r="J368" s="63"/>
    </row>
    <row r="369" spans="1:10" ht="30" customHeight="1">
      <c r="A369" s="12"/>
      <c r="B369" s="12"/>
      <c r="C369" s="12"/>
      <c r="D369" s="12"/>
      <c r="E369" s="12"/>
      <c r="F369" s="14"/>
      <c r="G369" s="14"/>
      <c r="H369" s="15"/>
      <c r="I369" s="59"/>
      <c r="J369" s="63"/>
    </row>
    <row r="370" spans="1:10" ht="30" customHeight="1">
      <c r="A370" s="12"/>
      <c r="B370" s="12"/>
      <c r="C370" s="12"/>
      <c r="D370" s="12"/>
      <c r="E370" s="12"/>
      <c r="F370" s="14"/>
      <c r="G370" s="14"/>
      <c r="H370" s="15"/>
      <c r="I370" s="59"/>
      <c r="J370" s="63"/>
    </row>
    <row r="371" spans="1:10" ht="30" customHeight="1">
      <c r="A371" s="12"/>
      <c r="B371" s="12"/>
      <c r="C371" s="12"/>
      <c r="D371" s="12"/>
      <c r="E371" s="12"/>
      <c r="F371" s="14"/>
      <c r="G371" s="14"/>
      <c r="H371" s="15"/>
      <c r="I371" s="59"/>
      <c r="J371" s="63"/>
    </row>
    <row r="372" spans="1:10" ht="30" customHeight="1">
      <c r="A372" s="12"/>
      <c r="B372" s="12"/>
      <c r="C372" s="12"/>
      <c r="D372" s="12"/>
      <c r="E372" s="12"/>
      <c r="F372" s="14"/>
      <c r="G372" s="14"/>
      <c r="H372" s="15"/>
      <c r="I372" s="59"/>
      <c r="J372" s="63"/>
    </row>
    <row r="373" spans="1:10" ht="30" customHeight="1">
      <c r="A373" s="12"/>
      <c r="B373" s="12"/>
      <c r="C373" s="12"/>
      <c r="D373" s="12"/>
      <c r="E373" s="12"/>
      <c r="F373" s="14"/>
      <c r="G373" s="14"/>
      <c r="H373" s="15"/>
      <c r="I373" s="59"/>
      <c r="J373" s="63"/>
    </row>
    <row r="374" spans="1:10" ht="30" customHeight="1">
      <c r="A374" s="12"/>
      <c r="B374" s="12"/>
      <c r="C374" s="12"/>
      <c r="D374" s="12"/>
      <c r="E374" s="12"/>
      <c r="F374" s="14"/>
      <c r="G374" s="14"/>
      <c r="H374" s="15"/>
      <c r="I374" s="59"/>
      <c r="J374" s="63"/>
    </row>
    <row r="375" spans="1:10" ht="30" customHeight="1">
      <c r="A375" s="12"/>
      <c r="B375" s="12"/>
      <c r="C375" s="12"/>
      <c r="D375" s="12"/>
      <c r="E375" s="12"/>
      <c r="F375" s="14"/>
      <c r="G375" s="14"/>
      <c r="H375" s="15"/>
      <c r="I375" s="59"/>
      <c r="J375" s="63"/>
    </row>
    <row r="376" spans="1:10" ht="30" customHeight="1">
      <c r="A376" s="12"/>
      <c r="B376" s="12"/>
      <c r="C376" s="12"/>
      <c r="D376" s="12"/>
      <c r="E376" s="12"/>
      <c r="F376" s="14"/>
      <c r="G376" s="14"/>
      <c r="H376" s="15"/>
      <c r="I376" s="59"/>
      <c r="J376" s="63"/>
    </row>
    <row r="377" spans="1:10" ht="30" customHeight="1">
      <c r="A377" s="12"/>
      <c r="B377" s="12"/>
      <c r="C377" s="12"/>
      <c r="D377" s="12"/>
      <c r="E377" s="12"/>
      <c r="F377" s="14"/>
      <c r="G377" s="14"/>
      <c r="H377" s="15"/>
      <c r="I377" s="59"/>
      <c r="J377" s="63"/>
    </row>
    <row r="378" spans="1:10" ht="30" customHeight="1">
      <c r="A378" s="12"/>
      <c r="B378" s="12"/>
      <c r="C378" s="12"/>
      <c r="D378" s="12"/>
      <c r="E378" s="12"/>
      <c r="F378" s="14"/>
      <c r="G378" s="14"/>
      <c r="H378" s="15"/>
      <c r="I378" s="59"/>
      <c r="J378" s="63"/>
    </row>
    <row r="379" spans="1:10" ht="30" customHeight="1">
      <c r="A379" s="12"/>
      <c r="B379" s="12"/>
      <c r="C379" s="12"/>
      <c r="D379" s="12"/>
      <c r="E379" s="12"/>
      <c r="F379" s="14"/>
      <c r="G379" s="14"/>
      <c r="H379" s="15"/>
      <c r="I379" s="59"/>
      <c r="J379" s="63"/>
    </row>
    <row r="380" spans="1:10" ht="30" customHeight="1">
      <c r="A380" s="12"/>
      <c r="B380" s="12"/>
      <c r="C380" s="12"/>
      <c r="D380" s="12"/>
      <c r="E380" s="12"/>
      <c r="F380" s="14"/>
      <c r="G380" s="14"/>
      <c r="H380" s="15"/>
      <c r="I380" s="59"/>
      <c r="J380" s="63"/>
    </row>
    <row r="381" spans="1:10" ht="30" customHeight="1">
      <c r="A381" s="12"/>
      <c r="B381" s="12"/>
      <c r="C381" s="12"/>
      <c r="D381" s="12"/>
      <c r="E381" s="12"/>
      <c r="F381" s="14"/>
      <c r="G381" s="14"/>
      <c r="H381" s="15"/>
      <c r="I381" s="59"/>
      <c r="J381" s="63"/>
    </row>
    <row r="382" spans="1:10" ht="30" customHeight="1">
      <c r="A382" s="12"/>
      <c r="B382" s="12"/>
      <c r="C382" s="12"/>
      <c r="D382" s="12"/>
      <c r="E382" s="12"/>
      <c r="F382" s="14"/>
      <c r="G382" s="14"/>
      <c r="H382" s="15"/>
      <c r="I382" s="59"/>
      <c r="J382" s="63"/>
    </row>
    <row r="383" spans="1:10" ht="30" customHeight="1">
      <c r="A383" s="12"/>
      <c r="B383" s="12"/>
      <c r="C383" s="12"/>
      <c r="D383" s="12"/>
      <c r="E383" s="12"/>
      <c r="F383" s="14"/>
      <c r="G383" s="14"/>
      <c r="H383" s="15"/>
      <c r="I383" s="59"/>
      <c r="J383" s="63"/>
    </row>
    <row r="384" spans="1:10" ht="30" customHeight="1">
      <c r="A384" s="12"/>
      <c r="B384" s="12"/>
      <c r="C384" s="12"/>
      <c r="D384" s="12"/>
      <c r="E384" s="12"/>
      <c r="F384" s="14"/>
      <c r="G384" s="14"/>
      <c r="H384" s="15"/>
      <c r="I384" s="59"/>
      <c r="J384" s="63"/>
    </row>
    <row r="385" spans="1:10" ht="30" customHeight="1">
      <c r="A385" s="12"/>
      <c r="B385" s="12"/>
      <c r="C385" s="12"/>
      <c r="D385" s="12"/>
      <c r="E385" s="12"/>
      <c r="F385" s="14"/>
      <c r="G385" s="14"/>
      <c r="H385" s="15"/>
      <c r="I385" s="59"/>
      <c r="J385" s="63"/>
    </row>
    <row r="386" spans="1:10" ht="30" customHeight="1">
      <c r="A386" s="12"/>
      <c r="B386" s="12"/>
      <c r="C386" s="12"/>
      <c r="D386" s="12"/>
      <c r="E386" s="12"/>
      <c r="F386" s="14"/>
      <c r="G386" s="14"/>
      <c r="H386" s="15"/>
      <c r="I386" s="59"/>
      <c r="J386" s="63"/>
    </row>
    <row r="387" spans="1:10" ht="30" customHeight="1">
      <c r="A387" s="12"/>
      <c r="B387" s="12"/>
      <c r="C387" s="12"/>
      <c r="D387" s="12"/>
      <c r="E387" s="12"/>
      <c r="F387" s="14"/>
      <c r="G387" s="14"/>
      <c r="H387" s="15"/>
      <c r="I387" s="59"/>
      <c r="J387" s="63"/>
    </row>
    <row r="388" spans="1:10" ht="30" customHeight="1">
      <c r="A388" s="12"/>
      <c r="B388" s="12"/>
      <c r="C388" s="12"/>
      <c r="D388" s="12"/>
      <c r="E388" s="12"/>
      <c r="F388" s="14"/>
      <c r="G388" s="14"/>
      <c r="H388" s="15"/>
      <c r="I388" s="59"/>
      <c r="J388" s="63"/>
    </row>
    <row r="389" spans="1:10" ht="30" customHeight="1">
      <c r="A389" s="12"/>
      <c r="B389" s="12"/>
      <c r="C389" s="12"/>
      <c r="D389" s="12"/>
      <c r="E389" s="12"/>
      <c r="F389" s="14"/>
      <c r="G389" s="14"/>
      <c r="H389" s="15"/>
      <c r="I389" s="59"/>
      <c r="J389" s="63"/>
    </row>
    <row r="390" spans="1:10" ht="30" customHeight="1">
      <c r="A390" s="12"/>
      <c r="B390" s="12"/>
      <c r="C390" s="12"/>
      <c r="D390" s="12"/>
      <c r="E390" s="12"/>
      <c r="F390" s="14"/>
      <c r="G390" s="14"/>
      <c r="H390" s="15"/>
      <c r="I390" s="59"/>
      <c r="J390" s="63"/>
    </row>
    <row r="391" spans="1:10" ht="30" customHeight="1">
      <c r="A391" s="12"/>
      <c r="B391" s="12"/>
      <c r="C391" s="12"/>
      <c r="D391" s="12"/>
      <c r="E391" s="12"/>
      <c r="F391" s="14"/>
      <c r="G391" s="14"/>
      <c r="H391" s="15"/>
      <c r="I391" s="59"/>
      <c r="J391" s="63"/>
    </row>
    <row r="392" spans="1:10" ht="30" customHeight="1">
      <c r="A392" s="12"/>
      <c r="B392" s="12"/>
      <c r="C392" s="12"/>
      <c r="D392" s="12"/>
      <c r="E392" s="12"/>
      <c r="F392" s="14"/>
      <c r="G392" s="14"/>
      <c r="H392" s="15"/>
      <c r="I392" s="59"/>
      <c r="J392" s="63"/>
    </row>
    <row r="393" spans="1:10" ht="30" customHeight="1">
      <c r="A393" s="12"/>
      <c r="B393" s="12"/>
      <c r="C393" s="12"/>
      <c r="D393" s="12"/>
      <c r="E393" s="12"/>
      <c r="F393" s="14"/>
      <c r="G393" s="14"/>
      <c r="H393" s="15"/>
      <c r="I393" s="59"/>
      <c r="J393" s="63"/>
    </row>
    <row r="394" spans="1:10" ht="30" customHeight="1">
      <c r="A394" s="12"/>
      <c r="B394" s="12"/>
      <c r="C394" s="12"/>
      <c r="D394" s="12"/>
      <c r="E394" s="12"/>
      <c r="F394" s="14"/>
      <c r="G394" s="14"/>
      <c r="H394" s="15"/>
      <c r="I394" s="59"/>
      <c r="J394" s="63"/>
    </row>
    <row r="395" spans="1:10" ht="30" customHeight="1">
      <c r="A395" s="12"/>
      <c r="B395" s="12"/>
      <c r="C395" s="12"/>
      <c r="D395" s="12"/>
      <c r="E395" s="12"/>
      <c r="F395" s="14"/>
      <c r="G395" s="14"/>
      <c r="H395" s="15"/>
      <c r="I395" s="59"/>
      <c r="J395" s="63"/>
    </row>
    <row r="396" spans="1:10" ht="30" customHeight="1">
      <c r="A396" s="12"/>
      <c r="B396" s="12"/>
      <c r="C396" s="12"/>
      <c r="D396" s="12"/>
      <c r="E396" s="12"/>
      <c r="F396" s="14"/>
      <c r="G396" s="14"/>
      <c r="H396" s="15"/>
      <c r="I396" s="59"/>
      <c r="J396" s="63"/>
    </row>
    <row r="397" spans="1:10" ht="30" customHeight="1">
      <c r="A397" s="12"/>
      <c r="B397" s="12"/>
      <c r="C397" s="12"/>
      <c r="D397" s="12"/>
      <c r="E397" s="12"/>
      <c r="F397" s="14"/>
      <c r="G397" s="14"/>
      <c r="H397" s="15"/>
      <c r="I397" s="59"/>
      <c r="J397" s="63"/>
    </row>
    <row r="398" spans="1:10" ht="30" customHeight="1">
      <c r="A398" s="12"/>
      <c r="B398" s="12"/>
      <c r="C398" s="12"/>
      <c r="D398" s="12"/>
      <c r="E398" s="12"/>
      <c r="F398" s="14"/>
      <c r="G398" s="14"/>
      <c r="H398" s="15"/>
      <c r="I398" s="59"/>
      <c r="J398" s="63"/>
    </row>
    <row r="399" spans="1:10" ht="30" customHeight="1">
      <c r="A399" s="12"/>
      <c r="B399" s="12"/>
      <c r="C399" s="12"/>
      <c r="D399" s="12"/>
      <c r="E399" s="12"/>
      <c r="F399" s="14"/>
      <c r="G399" s="14"/>
      <c r="H399" s="15"/>
      <c r="I399" s="59"/>
      <c r="J399" s="63"/>
    </row>
    <row r="400" spans="1:10" ht="30" customHeight="1">
      <c r="A400" s="12"/>
      <c r="B400" s="12"/>
      <c r="C400" s="12"/>
      <c r="D400" s="12"/>
      <c r="E400" s="12"/>
      <c r="F400" s="14"/>
      <c r="G400" s="14"/>
      <c r="H400" s="15"/>
      <c r="I400" s="59"/>
      <c r="J400" s="63"/>
    </row>
    <row r="401" spans="1:10" ht="30" customHeight="1">
      <c r="A401" s="12"/>
      <c r="B401" s="12"/>
      <c r="C401" s="12"/>
      <c r="D401" s="12"/>
      <c r="E401" s="12"/>
      <c r="F401" s="14"/>
      <c r="G401" s="14"/>
      <c r="H401" s="15"/>
      <c r="I401" s="59"/>
      <c r="J401" s="63"/>
    </row>
    <row r="402" spans="1:10" ht="30" customHeight="1">
      <c r="A402" s="12"/>
      <c r="B402" s="12"/>
      <c r="C402" s="12"/>
      <c r="D402" s="12"/>
      <c r="E402" s="12"/>
      <c r="F402" s="14"/>
      <c r="G402" s="14"/>
      <c r="H402" s="15"/>
      <c r="I402" s="59"/>
      <c r="J402" s="63"/>
    </row>
    <row r="403" spans="1:10" ht="30" customHeight="1">
      <c r="A403" s="12"/>
      <c r="B403" s="12"/>
      <c r="C403" s="12"/>
      <c r="D403" s="12"/>
      <c r="E403" s="12"/>
      <c r="F403" s="14"/>
      <c r="G403" s="14"/>
      <c r="H403" s="15"/>
      <c r="I403" s="59"/>
      <c r="J403" s="63"/>
    </row>
    <row r="404" spans="1:10" ht="30" customHeight="1">
      <c r="A404" s="12"/>
      <c r="B404" s="12"/>
      <c r="C404" s="12"/>
      <c r="D404" s="12"/>
      <c r="E404" s="12"/>
      <c r="F404" s="14"/>
      <c r="G404" s="14"/>
      <c r="H404" s="15"/>
      <c r="I404" s="59"/>
      <c r="J404" s="63"/>
    </row>
    <row r="405" spans="1:10" ht="30" customHeight="1">
      <c r="A405" s="12"/>
      <c r="B405" s="12"/>
      <c r="C405" s="12"/>
      <c r="D405" s="12"/>
      <c r="E405" s="12"/>
      <c r="F405" s="14"/>
      <c r="G405" s="14"/>
      <c r="H405" s="15"/>
      <c r="I405" s="59"/>
      <c r="J405" s="63"/>
    </row>
    <row r="406" spans="1:10" ht="30" customHeight="1">
      <c r="A406" s="12"/>
      <c r="B406" s="12"/>
      <c r="C406" s="12"/>
      <c r="D406" s="12"/>
      <c r="E406" s="12"/>
      <c r="F406" s="14"/>
      <c r="G406" s="14"/>
      <c r="H406" s="15"/>
      <c r="I406" s="59"/>
      <c r="J406" s="63"/>
    </row>
    <row r="407" spans="1:10" ht="30" customHeight="1">
      <c r="A407" s="12"/>
      <c r="B407" s="12"/>
      <c r="C407" s="12"/>
      <c r="D407" s="12"/>
      <c r="E407" s="12"/>
      <c r="F407" s="14"/>
      <c r="G407" s="14"/>
      <c r="H407" s="15"/>
      <c r="I407" s="59"/>
      <c r="J407" s="63"/>
    </row>
    <row r="408" spans="1:10" ht="30" customHeight="1">
      <c r="A408" s="12"/>
      <c r="B408" s="12"/>
      <c r="C408" s="12"/>
      <c r="D408" s="12"/>
      <c r="E408" s="12"/>
      <c r="F408" s="14"/>
      <c r="G408" s="14"/>
      <c r="H408" s="15"/>
      <c r="I408" s="59"/>
      <c r="J408" s="63"/>
    </row>
    <row r="409" spans="1:10" ht="30" customHeight="1">
      <c r="A409" s="12"/>
      <c r="B409" s="12"/>
      <c r="C409" s="12"/>
      <c r="D409" s="12"/>
      <c r="E409" s="12"/>
      <c r="F409" s="14"/>
      <c r="G409" s="14"/>
      <c r="H409" s="15"/>
      <c r="I409" s="59"/>
      <c r="J409" s="63"/>
    </row>
    <row r="410" spans="1:10" ht="30" customHeight="1">
      <c r="A410" s="12"/>
      <c r="B410" s="12"/>
      <c r="C410" s="12"/>
      <c r="D410" s="12"/>
      <c r="E410" s="12"/>
      <c r="F410" s="14"/>
      <c r="G410" s="14"/>
      <c r="H410" s="15"/>
      <c r="I410" s="59"/>
      <c r="J410" s="63"/>
    </row>
    <row r="411" spans="1:10" ht="30" customHeight="1">
      <c r="A411" s="12"/>
      <c r="B411" s="12"/>
      <c r="C411" s="12"/>
      <c r="D411" s="12"/>
      <c r="E411" s="12"/>
      <c r="F411" s="14"/>
      <c r="G411" s="14"/>
      <c r="H411" s="15"/>
      <c r="I411" s="59"/>
      <c r="J411" s="63"/>
    </row>
    <row r="412" spans="1:10" ht="30" customHeight="1">
      <c r="A412" s="12"/>
      <c r="B412" s="12"/>
      <c r="C412" s="12"/>
      <c r="D412" s="12"/>
      <c r="E412" s="12"/>
      <c r="F412" s="14"/>
      <c r="G412" s="14"/>
      <c r="H412" s="15"/>
      <c r="I412" s="59"/>
      <c r="J412" s="63"/>
    </row>
    <row r="413" spans="1:10" ht="30" customHeight="1">
      <c r="A413" s="12"/>
      <c r="B413" s="12"/>
      <c r="C413" s="12"/>
      <c r="D413" s="12"/>
      <c r="E413" s="12"/>
      <c r="F413" s="14"/>
      <c r="G413" s="14"/>
      <c r="H413" s="15"/>
      <c r="I413" s="59"/>
      <c r="J413" s="63"/>
    </row>
    <row r="414" spans="1:10" ht="30" customHeight="1">
      <c r="A414" s="12"/>
      <c r="B414" s="12"/>
      <c r="C414" s="12"/>
      <c r="D414" s="12"/>
      <c r="E414" s="12"/>
      <c r="F414" s="14"/>
      <c r="G414" s="14"/>
      <c r="H414" s="15"/>
      <c r="I414" s="59"/>
      <c r="J414" s="63"/>
    </row>
    <row r="415" spans="1:10" ht="30" customHeight="1">
      <c r="A415" s="12"/>
      <c r="B415" s="12"/>
      <c r="C415" s="12"/>
      <c r="D415" s="12"/>
      <c r="E415" s="12"/>
      <c r="F415" s="14"/>
      <c r="G415" s="14"/>
      <c r="H415" s="15"/>
      <c r="I415" s="59"/>
      <c r="J415" s="63"/>
    </row>
    <row r="416" spans="1:10" ht="30" customHeight="1">
      <c r="A416" s="12"/>
      <c r="B416" s="12"/>
      <c r="C416" s="12"/>
      <c r="D416" s="12"/>
      <c r="E416" s="12"/>
      <c r="F416" s="14"/>
      <c r="G416" s="14"/>
      <c r="H416" s="15"/>
      <c r="I416" s="59"/>
      <c r="J416" s="63"/>
    </row>
    <row r="417" spans="1:10" ht="30" customHeight="1">
      <c r="A417" s="12"/>
      <c r="B417" s="12"/>
      <c r="C417" s="12"/>
      <c r="D417" s="12"/>
      <c r="E417" s="12"/>
      <c r="F417" s="14"/>
      <c r="G417" s="14"/>
      <c r="H417" s="15"/>
      <c r="I417" s="59"/>
      <c r="J417" s="63"/>
    </row>
    <row r="418" spans="1:10" ht="30" customHeight="1">
      <c r="A418" s="12"/>
      <c r="B418" s="12"/>
      <c r="C418" s="12"/>
      <c r="D418" s="12"/>
      <c r="E418" s="12"/>
      <c r="F418" s="14"/>
      <c r="G418" s="14"/>
      <c r="H418" s="15"/>
      <c r="I418" s="59"/>
      <c r="J418" s="63"/>
    </row>
    <row r="419" spans="1:10" ht="30" customHeight="1">
      <c r="A419" s="12"/>
      <c r="B419" s="12"/>
      <c r="C419" s="12"/>
      <c r="D419" s="12"/>
      <c r="E419" s="12"/>
      <c r="F419" s="14"/>
      <c r="G419" s="14"/>
      <c r="H419" s="15"/>
      <c r="I419" s="59"/>
      <c r="J419" s="63"/>
    </row>
    <row r="420" spans="1:10" ht="30" customHeight="1">
      <c r="A420" s="12"/>
      <c r="B420" s="12"/>
      <c r="C420" s="12"/>
      <c r="D420" s="12"/>
      <c r="E420" s="12"/>
      <c r="F420" s="14"/>
      <c r="G420" s="14"/>
      <c r="H420" s="15"/>
      <c r="I420" s="59"/>
      <c r="J420" s="63"/>
    </row>
    <row r="421" spans="1:10" ht="30" customHeight="1">
      <c r="A421" s="12"/>
      <c r="B421" s="12"/>
      <c r="C421" s="12"/>
      <c r="D421" s="12"/>
      <c r="E421" s="12"/>
      <c r="F421" s="14"/>
      <c r="G421" s="14"/>
      <c r="H421" s="15"/>
      <c r="I421" s="59"/>
      <c r="J421" s="63"/>
    </row>
    <row r="422" spans="1:10" ht="30" customHeight="1">
      <c r="A422" s="12"/>
      <c r="B422" s="12"/>
      <c r="C422" s="12"/>
      <c r="D422" s="12"/>
      <c r="E422" s="12"/>
      <c r="F422" s="14"/>
      <c r="G422" s="14"/>
      <c r="H422" s="15"/>
      <c r="I422" s="59"/>
      <c r="J422" s="63"/>
    </row>
    <row r="423" spans="1:10" ht="30" customHeight="1">
      <c r="A423" s="12"/>
      <c r="B423" s="12"/>
      <c r="C423" s="12"/>
      <c r="D423" s="12"/>
      <c r="E423" s="12"/>
      <c r="F423" s="14"/>
      <c r="G423" s="14"/>
      <c r="H423" s="15"/>
      <c r="I423" s="59"/>
      <c r="J423" s="63"/>
    </row>
    <row r="424" spans="1:10" ht="30" customHeight="1">
      <c r="A424" s="12"/>
      <c r="B424" s="12"/>
      <c r="C424" s="12"/>
      <c r="D424" s="12"/>
      <c r="E424" s="12"/>
      <c r="F424" s="14"/>
      <c r="G424" s="14"/>
      <c r="H424" s="15"/>
      <c r="I424" s="59"/>
      <c r="J424" s="63"/>
    </row>
    <row r="425" spans="1:10" ht="30" customHeight="1">
      <c r="A425" s="12"/>
      <c r="B425" s="12"/>
      <c r="C425" s="12"/>
      <c r="D425" s="12"/>
      <c r="E425" s="12"/>
      <c r="F425" s="14"/>
      <c r="G425" s="14"/>
      <c r="H425" s="15"/>
      <c r="I425" s="59"/>
      <c r="J425" s="63"/>
    </row>
    <row r="426" spans="1:10" ht="30" customHeight="1">
      <c r="A426" s="12"/>
      <c r="B426" s="12"/>
      <c r="C426" s="12"/>
      <c r="D426" s="12"/>
      <c r="E426" s="12"/>
      <c r="F426" s="14"/>
      <c r="G426" s="14"/>
      <c r="H426" s="15"/>
      <c r="I426" s="59"/>
      <c r="J426" s="63"/>
    </row>
    <row r="427" spans="1:10" ht="30" customHeight="1">
      <c r="A427" s="12"/>
      <c r="B427" s="12"/>
      <c r="C427" s="12"/>
      <c r="D427" s="12"/>
      <c r="E427" s="12"/>
      <c r="F427" s="14"/>
      <c r="G427" s="14"/>
      <c r="H427" s="15"/>
      <c r="I427" s="59"/>
      <c r="J427" s="63"/>
    </row>
    <row r="428" spans="1:10" ht="30" customHeight="1">
      <c r="A428" s="12"/>
      <c r="B428" s="12"/>
      <c r="C428" s="12"/>
      <c r="D428" s="12"/>
      <c r="E428" s="12"/>
      <c r="F428" s="14"/>
      <c r="G428" s="14"/>
      <c r="H428" s="15"/>
      <c r="I428" s="59"/>
      <c r="J428" s="63"/>
    </row>
    <row r="429" spans="1:10" ht="30" customHeight="1">
      <c r="A429" s="12"/>
      <c r="B429" s="12"/>
      <c r="C429" s="12"/>
      <c r="D429" s="12"/>
      <c r="E429" s="12"/>
      <c r="F429" s="14"/>
      <c r="G429" s="14"/>
      <c r="H429" s="15"/>
      <c r="I429" s="59"/>
      <c r="J429" s="63"/>
    </row>
    <row r="430" spans="1:10" ht="30" customHeight="1">
      <c r="A430" s="12"/>
      <c r="B430" s="12"/>
      <c r="C430" s="12"/>
      <c r="D430" s="12"/>
      <c r="E430" s="12"/>
      <c r="F430" s="14"/>
      <c r="G430" s="14"/>
      <c r="H430" s="15"/>
      <c r="I430" s="59"/>
      <c r="J430" s="63"/>
    </row>
    <row r="431" spans="1:10" ht="30" customHeight="1">
      <c r="A431" s="12"/>
      <c r="B431" s="12"/>
      <c r="C431" s="12"/>
      <c r="D431" s="12"/>
      <c r="E431" s="12"/>
      <c r="F431" s="14"/>
      <c r="G431" s="14"/>
      <c r="H431" s="15"/>
      <c r="I431" s="59"/>
      <c r="J431" s="63"/>
    </row>
    <row r="432" spans="1:10" ht="30" customHeight="1">
      <c r="A432" s="12"/>
      <c r="B432" s="12"/>
      <c r="C432" s="12"/>
      <c r="D432" s="12"/>
      <c r="E432" s="12"/>
      <c r="F432" s="14"/>
      <c r="G432" s="14"/>
      <c r="H432" s="15"/>
      <c r="I432" s="59"/>
      <c r="J432" s="63"/>
    </row>
    <row r="433" spans="1:10" ht="30" customHeight="1">
      <c r="A433" s="12"/>
      <c r="B433" s="12"/>
      <c r="C433" s="12"/>
      <c r="D433" s="12"/>
      <c r="E433" s="12"/>
      <c r="F433" s="14"/>
      <c r="G433" s="14"/>
      <c r="H433" s="15"/>
      <c r="I433" s="59"/>
      <c r="J433" s="63"/>
    </row>
    <row r="434" spans="1:10" ht="30" customHeight="1">
      <c r="A434" s="12"/>
      <c r="B434" s="12"/>
      <c r="C434" s="12"/>
      <c r="D434" s="12"/>
      <c r="E434" s="12"/>
      <c r="F434" s="14"/>
      <c r="G434" s="14"/>
      <c r="H434" s="15"/>
      <c r="I434" s="59"/>
      <c r="J434" s="63"/>
    </row>
    <row r="435" spans="1:10" ht="30" customHeight="1">
      <c r="A435" s="12"/>
      <c r="B435" s="12"/>
      <c r="C435" s="12"/>
      <c r="D435" s="12"/>
      <c r="E435" s="12"/>
      <c r="F435" s="14"/>
      <c r="G435" s="14"/>
      <c r="H435" s="15"/>
      <c r="I435" s="59"/>
      <c r="J435" s="63"/>
    </row>
    <row r="436" spans="1:10" ht="30" customHeight="1">
      <c r="A436" s="12"/>
      <c r="B436" s="12"/>
      <c r="C436" s="12"/>
      <c r="D436" s="12"/>
      <c r="E436" s="12"/>
      <c r="F436" s="14"/>
      <c r="G436" s="14"/>
      <c r="H436" s="15"/>
      <c r="I436" s="59"/>
      <c r="J436" s="63"/>
    </row>
    <row r="437" spans="1:10" ht="30" customHeight="1">
      <c r="A437" s="12"/>
      <c r="B437" s="12"/>
      <c r="C437" s="12"/>
      <c r="D437" s="12"/>
      <c r="E437" s="12"/>
      <c r="F437" s="14"/>
      <c r="G437" s="14"/>
      <c r="H437" s="15"/>
      <c r="I437" s="59"/>
      <c r="J437" s="63"/>
    </row>
    <row r="438" spans="1:10" ht="30" customHeight="1">
      <c r="A438" s="12"/>
      <c r="B438" s="12"/>
      <c r="C438" s="12"/>
      <c r="D438" s="12"/>
      <c r="E438" s="12"/>
      <c r="F438" s="14"/>
      <c r="G438" s="14"/>
      <c r="H438" s="15"/>
      <c r="I438" s="59"/>
      <c r="J438" s="63"/>
    </row>
    <row r="439" spans="1:10" ht="30" customHeight="1">
      <c r="A439" s="12"/>
      <c r="B439" s="12"/>
      <c r="C439" s="12"/>
      <c r="D439" s="12"/>
      <c r="E439" s="12"/>
      <c r="F439" s="14"/>
      <c r="G439" s="14"/>
      <c r="H439" s="15"/>
      <c r="I439" s="59"/>
      <c r="J439" s="63"/>
    </row>
    <row r="440" spans="1:10" ht="30" customHeight="1">
      <c r="A440" s="12"/>
      <c r="B440" s="12"/>
      <c r="C440" s="12"/>
      <c r="D440" s="12"/>
      <c r="E440" s="12"/>
      <c r="F440" s="14"/>
      <c r="G440" s="14"/>
      <c r="H440" s="15"/>
      <c r="I440" s="59"/>
      <c r="J440" s="63"/>
    </row>
    <row r="441" spans="1:10" ht="30" customHeight="1">
      <c r="A441" s="12"/>
      <c r="B441" s="12"/>
      <c r="C441" s="12"/>
      <c r="D441" s="12"/>
      <c r="E441" s="12"/>
      <c r="F441" s="14"/>
      <c r="G441" s="14"/>
      <c r="H441" s="15"/>
      <c r="I441" s="59"/>
      <c r="J441" s="63"/>
    </row>
    <row r="442" spans="1:10" ht="30" customHeight="1">
      <c r="A442" s="12"/>
      <c r="B442" s="12"/>
      <c r="C442" s="12"/>
      <c r="D442" s="12"/>
      <c r="E442" s="12"/>
      <c r="F442" s="14"/>
      <c r="G442" s="14"/>
      <c r="H442" s="15"/>
      <c r="I442" s="59"/>
      <c r="J442" s="63"/>
    </row>
    <row r="443" spans="1:10" ht="30" customHeight="1">
      <c r="A443" s="12"/>
      <c r="B443" s="12"/>
      <c r="C443" s="12"/>
      <c r="D443" s="12"/>
      <c r="E443" s="12"/>
      <c r="F443" s="14"/>
      <c r="G443" s="14"/>
      <c r="H443" s="15"/>
      <c r="I443" s="59"/>
      <c r="J443" s="63"/>
    </row>
    <row r="444" spans="1:10" ht="30" customHeight="1">
      <c r="A444" s="12"/>
      <c r="B444" s="12"/>
      <c r="C444" s="12"/>
      <c r="D444" s="12"/>
      <c r="E444" s="12"/>
      <c r="F444" s="14"/>
      <c r="G444" s="14"/>
      <c r="H444" s="15"/>
      <c r="I444" s="59"/>
      <c r="J444" s="63"/>
    </row>
    <row r="445" spans="1:10" ht="30" customHeight="1">
      <c r="A445" s="12"/>
      <c r="B445" s="12"/>
      <c r="C445" s="12"/>
      <c r="D445" s="12"/>
      <c r="E445" s="12"/>
      <c r="F445" s="14"/>
      <c r="G445" s="14"/>
      <c r="H445" s="15"/>
      <c r="I445" s="59"/>
      <c r="J445" s="63"/>
    </row>
    <row r="446" spans="1:10" ht="30" customHeight="1">
      <c r="A446" s="12"/>
      <c r="B446" s="12"/>
      <c r="C446" s="12"/>
      <c r="D446" s="12"/>
      <c r="E446" s="12"/>
      <c r="F446" s="14"/>
      <c r="G446" s="14"/>
      <c r="H446" s="15"/>
      <c r="I446" s="59"/>
      <c r="J446" s="63"/>
    </row>
    <row r="447" spans="1:10" ht="30" customHeight="1">
      <c r="A447" s="12"/>
      <c r="B447" s="12"/>
      <c r="C447" s="12"/>
      <c r="D447" s="12"/>
      <c r="E447" s="12"/>
      <c r="F447" s="14"/>
      <c r="G447" s="14"/>
      <c r="H447" s="15"/>
      <c r="I447" s="59"/>
      <c r="J447" s="63"/>
    </row>
    <row r="448" spans="1:10" ht="30" customHeight="1">
      <c r="A448" s="12"/>
      <c r="B448" s="12"/>
      <c r="C448" s="12"/>
      <c r="D448" s="12"/>
      <c r="E448" s="12"/>
      <c r="F448" s="14"/>
      <c r="G448" s="14"/>
      <c r="H448" s="15"/>
      <c r="I448" s="59"/>
      <c r="J448" s="63"/>
    </row>
    <row r="449" spans="1:10" ht="30" customHeight="1">
      <c r="A449" s="12"/>
      <c r="B449" s="12"/>
      <c r="C449" s="12"/>
      <c r="D449" s="12"/>
      <c r="E449" s="12"/>
      <c r="F449" s="14"/>
      <c r="G449" s="14"/>
      <c r="H449" s="15"/>
      <c r="I449" s="59"/>
      <c r="J449" s="63"/>
    </row>
    <row r="450" spans="1:10" ht="30" customHeight="1">
      <c r="A450" s="12"/>
      <c r="B450" s="12"/>
      <c r="C450" s="12"/>
      <c r="D450" s="12"/>
      <c r="E450" s="12"/>
      <c r="F450" s="14"/>
      <c r="G450" s="14"/>
      <c r="H450" s="15"/>
      <c r="I450" s="59"/>
      <c r="J450" s="63"/>
    </row>
    <row r="451" spans="1:10" ht="30" customHeight="1">
      <c r="A451" s="12"/>
      <c r="B451" s="12"/>
      <c r="C451" s="12"/>
      <c r="D451" s="12"/>
      <c r="E451" s="12"/>
      <c r="F451" s="14"/>
      <c r="G451" s="14"/>
      <c r="H451" s="15"/>
      <c r="I451" s="59"/>
      <c r="J451" s="63"/>
    </row>
    <row r="452" spans="1:10" ht="30" customHeight="1">
      <c r="A452" s="12"/>
      <c r="B452" s="12"/>
      <c r="C452" s="12"/>
      <c r="D452" s="12"/>
      <c r="E452" s="12"/>
      <c r="F452" s="14"/>
      <c r="G452" s="14"/>
      <c r="H452" s="15"/>
      <c r="I452" s="59"/>
      <c r="J452" s="63"/>
    </row>
    <row r="453" spans="1:10" ht="30" customHeight="1">
      <c r="A453" s="12"/>
      <c r="B453" s="12"/>
      <c r="C453" s="12"/>
      <c r="D453" s="12"/>
      <c r="E453" s="12"/>
      <c r="F453" s="14"/>
      <c r="G453" s="14"/>
      <c r="H453" s="15"/>
      <c r="I453" s="59"/>
      <c r="J453" s="63"/>
    </row>
    <row r="454" spans="1:10" ht="30" customHeight="1">
      <c r="A454" s="12"/>
      <c r="B454" s="12"/>
      <c r="C454" s="12"/>
      <c r="D454" s="12"/>
      <c r="E454" s="12"/>
      <c r="F454" s="14"/>
      <c r="G454" s="14"/>
      <c r="H454" s="15"/>
      <c r="I454" s="59"/>
      <c r="J454" s="63"/>
    </row>
    <row r="455" spans="1:10" ht="30" customHeight="1">
      <c r="A455" s="12"/>
      <c r="B455" s="12"/>
      <c r="C455" s="12"/>
      <c r="D455" s="12"/>
      <c r="E455" s="12"/>
      <c r="F455" s="14"/>
      <c r="G455" s="14"/>
      <c r="H455" s="15"/>
      <c r="I455" s="59"/>
      <c r="J455" s="63"/>
    </row>
    <row r="456" spans="1:10" ht="30" customHeight="1">
      <c r="A456" s="12"/>
      <c r="B456" s="12"/>
      <c r="C456" s="12"/>
      <c r="D456" s="12"/>
      <c r="E456" s="12"/>
      <c r="F456" s="14"/>
      <c r="G456" s="14"/>
      <c r="H456" s="15"/>
      <c r="I456" s="59"/>
      <c r="J456" s="63"/>
    </row>
    <row r="457" spans="1:10" ht="30" customHeight="1">
      <c r="A457" s="12"/>
      <c r="B457" s="12"/>
      <c r="C457" s="12"/>
      <c r="D457" s="12"/>
      <c r="E457" s="12"/>
      <c r="F457" s="14"/>
      <c r="G457" s="14"/>
      <c r="H457" s="15"/>
      <c r="I457" s="59"/>
      <c r="J457" s="63"/>
    </row>
    <row r="458" spans="1:10" ht="30" customHeight="1">
      <c r="A458" s="12"/>
      <c r="B458" s="12"/>
      <c r="C458" s="12"/>
      <c r="D458" s="12"/>
      <c r="E458" s="12"/>
      <c r="F458" s="14"/>
      <c r="G458" s="14"/>
      <c r="H458" s="15"/>
      <c r="I458" s="59"/>
      <c r="J458" s="63"/>
    </row>
    <row r="459" spans="1:10" ht="30" customHeight="1">
      <c r="A459" s="12"/>
      <c r="B459" s="12"/>
      <c r="C459" s="12"/>
      <c r="D459" s="12"/>
      <c r="E459" s="12"/>
      <c r="F459" s="14"/>
      <c r="G459" s="14"/>
      <c r="H459" s="15"/>
      <c r="I459" s="59"/>
      <c r="J459" s="63"/>
    </row>
    <row r="460" spans="1:10" ht="30" customHeight="1">
      <c r="A460" s="12"/>
      <c r="B460" s="12"/>
      <c r="C460" s="12"/>
      <c r="D460" s="12"/>
      <c r="E460" s="12"/>
      <c r="F460" s="14"/>
      <c r="G460" s="14"/>
      <c r="H460" s="15"/>
      <c r="I460" s="59"/>
      <c r="J460" s="63"/>
    </row>
    <row r="461" spans="1:10" ht="30" customHeight="1">
      <c r="A461" s="12"/>
      <c r="B461" s="12"/>
      <c r="C461" s="12"/>
      <c r="D461" s="12"/>
      <c r="E461" s="12"/>
      <c r="F461" s="14"/>
      <c r="G461" s="14"/>
      <c r="H461" s="15"/>
      <c r="I461" s="59"/>
      <c r="J461" s="63"/>
    </row>
    <row r="462" spans="1:10" ht="30" customHeight="1">
      <c r="A462" s="12"/>
      <c r="B462" s="12"/>
      <c r="C462" s="12"/>
      <c r="D462" s="12"/>
      <c r="E462" s="12"/>
      <c r="F462" s="14"/>
      <c r="G462" s="14"/>
      <c r="H462" s="15"/>
      <c r="I462" s="59"/>
      <c r="J462" s="63"/>
    </row>
    <row r="463" spans="1:10" ht="30" customHeight="1">
      <c r="A463" s="12"/>
      <c r="B463" s="12"/>
      <c r="C463" s="12"/>
      <c r="D463" s="12"/>
      <c r="E463" s="12"/>
      <c r="F463" s="14"/>
      <c r="G463" s="14"/>
      <c r="H463" s="15"/>
      <c r="I463" s="59"/>
      <c r="J463" s="63"/>
    </row>
    <row r="464" spans="1:10" ht="30" customHeight="1">
      <c r="A464" s="12"/>
      <c r="B464" s="12"/>
      <c r="C464" s="12"/>
      <c r="D464" s="12"/>
      <c r="E464" s="12"/>
      <c r="F464" s="14"/>
      <c r="G464" s="14"/>
      <c r="H464" s="15"/>
      <c r="I464" s="59"/>
      <c r="J464" s="63"/>
    </row>
    <row r="465" spans="1:10" ht="30" customHeight="1">
      <c r="A465" s="12"/>
      <c r="B465" s="12"/>
      <c r="C465" s="12"/>
      <c r="D465" s="12"/>
      <c r="E465" s="12"/>
      <c r="F465" s="14"/>
      <c r="G465" s="14"/>
      <c r="H465" s="15"/>
      <c r="I465" s="59"/>
      <c r="J465" s="63"/>
    </row>
    <row r="466" spans="1:10" ht="30" customHeight="1">
      <c r="A466" s="12"/>
      <c r="B466" s="12"/>
      <c r="C466" s="12"/>
      <c r="D466" s="12"/>
      <c r="E466" s="12"/>
      <c r="F466" s="14"/>
      <c r="G466" s="14"/>
      <c r="H466" s="15"/>
      <c r="I466" s="59"/>
      <c r="J466" s="63"/>
    </row>
    <row r="467" spans="1:10" ht="30" customHeight="1">
      <c r="A467" s="12"/>
      <c r="B467" s="12"/>
      <c r="C467" s="12"/>
      <c r="D467" s="12"/>
      <c r="E467" s="12"/>
      <c r="F467" s="14"/>
      <c r="G467" s="14"/>
      <c r="H467" s="15"/>
      <c r="I467" s="59"/>
      <c r="J467" s="63"/>
    </row>
    <row r="468" spans="1:10" ht="30" customHeight="1">
      <c r="A468" s="12"/>
      <c r="B468" s="12"/>
      <c r="C468" s="12"/>
      <c r="D468" s="12"/>
      <c r="E468" s="12"/>
      <c r="F468" s="14"/>
      <c r="G468" s="14"/>
      <c r="H468" s="15"/>
      <c r="I468" s="59"/>
      <c r="J468" s="63"/>
    </row>
    <row r="469" spans="1:10" ht="30" customHeight="1">
      <c r="A469" s="12"/>
      <c r="B469" s="12"/>
      <c r="C469" s="12"/>
      <c r="D469" s="12"/>
      <c r="E469" s="12"/>
      <c r="F469" s="14"/>
      <c r="G469" s="14"/>
      <c r="H469" s="15"/>
      <c r="I469" s="59"/>
      <c r="J469" s="63"/>
    </row>
    <row r="470" spans="1:10" ht="30" customHeight="1">
      <c r="A470" s="12"/>
      <c r="B470" s="12"/>
      <c r="C470" s="12"/>
      <c r="D470" s="12"/>
      <c r="E470" s="12"/>
      <c r="F470" s="14"/>
      <c r="G470" s="14"/>
      <c r="H470" s="15"/>
      <c r="I470" s="59"/>
      <c r="J470" s="63"/>
    </row>
    <row r="471" spans="1:10" ht="30" customHeight="1">
      <c r="A471" s="12"/>
      <c r="B471" s="12"/>
      <c r="C471" s="12"/>
      <c r="D471" s="12"/>
      <c r="E471" s="12"/>
      <c r="F471" s="14"/>
      <c r="G471" s="14"/>
      <c r="H471" s="15"/>
      <c r="I471" s="59"/>
      <c r="J471" s="63"/>
    </row>
    <row r="472" spans="1:10" ht="30" customHeight="1">
      <c r="A472" s="12"/>
      <c r="B472" s="12"/>
      <c r="C472" s="12"/>
      <c r="D472" s="12"/>
      <c r="E472" s="12"/>
      <c r="F472" s="14"/>
      <c r="G472" s="14"/>
      <c r="H472" s="15"/>
      <c r="I472" s="59"/>
      <c r="J472" s="63"/>
    </row>
    <row r="473" spans="1:10" ht="30" customHeight="1">
      <c r="A473" s="12"/>
      <c r="B473" s="12"/>
      <c r="C473" s="12"/>
      <c r="D473" s="12"/>
      <c r="E473" s="12"/>
      <c r="F473" s="14"/>
      <c r="G473" s="14"/>
      <c r="H473" s="15"/>
      <c r="I473" s="59"/>
      <c r="J473" s="63"/>
    </row>
    <row r="474" spans="1:10" ht="30" customHeight="1">
      <c r="A474" s="12"/>
      <c r="B474" s="12"/>
      <c r="C474" s="12"/>
      <c r="D474" s="12"/>
      <c r="E474" s="12"/>
      <c r="F474" s="14"/>
      <c r="G474" s="14"/>
      <c r="H474" s="15"/>
      <c r="I474" s="59"/>
      <c r="J474" s="63"/>
    </row>
    <row r="475" spans="1:10" ht="30" customHeight="1">
      <c r="A475" s="12"/>
      <c r="B475" s="12"/>
      <c r="C475" s="12"/>
      <c r="D475" s="12"/>
      <c r="E475" s="12"/>
      <c r="F475" s="14"/>
      <c r="G475" s="14"/>
      <c r="H475" s="15"/>
      <c r="I475" s="59"/>
      <c r="J475" s="63"/>
    </row>
    <row r="476" spans="1:10" ht="30" customHeight="1">
      <c r="A476" s="12"/>
      <c r="B476" s="12"/>
      <c r="C476" s="12"/>
      <c r="D476" s="12"/>
      <c r="E476" s="12"/>
      <c r="F476" s="14"/>
      <c r="G476" s="14"/>
      <c r="H476" s="15"/>
      <c r="I476" s="59"/>
      <c r="J476" s="63"/>
    </row>
    <row r="477" spans="1:10" ht="30" customHeight="1">
      <c r="A477" s="12"/>
      <c r="B477" s="12"/>
      <c r="C477" s="12"/>
      <c r="D477" s="12"/>
      <c r="E477" s="12"/>
      <c r="F477" s="14"/>
      <c r="G477" s="14"/>
      <c r="H477" s="15"/>
      <c r="I477" s="59"/>
      <c r="J477" s="63"/>
    </row>
    <row r="478" spans="1:10" ht="30" customHeight="1">
      <c r="A478" s="12"/>
      <c r="B478" s="12"/>
      <c r="C478" s="12"/>
      <c r="D478" s="12"/>
      <c r="E478" s="12"/>
      <c r="F478" s="14"/>
      <c r="G478" s="14"/>
      <c r="H478" s="15"/>
      <c r="I478" s="59"/>
      <c r="J478" s="63"/>
    </row>
    <row r="479" spans="1:10" ht="30" customHeight="1">
      <c r="A479" s="12"/>
      <c r="B479" s="12"/>
      <c r="C479" s="12"/>
      <c r="D479" s="12"/>
      <c r="E479" s="12"/>
      <c r="F479" s="14"/>
      <c r="G479" s="14"/>
      <c r="H479" s="15"/>
      <c r="I479" s="59"/>
      <c r="J479" s="63"/>
    </row>
    <row r="480" spans="1:10" ht="30" customHeight="1">
      <c r="A480" s="12"/>
      <c r="B480" s="12"/>
      <c r="C480" s="12"/>
      <c r="D480" s="12"/>
      <c r="E480" s="12"/>
      <c r="F480" s="14"/>
      <c r="G480" s="14"/>
      <c r="H480" s="15"/>
      <c r="I480" s="59"/>
      <c r="J480" s="63"/>
    </row>
    <row r="481" spans="1:10" ht="30" customHeight="1">
      <c r="A481" s="12"/>
      <c r="B481" s="12"/>
      <c r="C481" s="12"/>
      <c r="D481" s="12"/>
      <c r="E481" s="12"/>
      <c r="F481" s="14"/>
      <c r="G481" s="14"/>
      <c r="H481" s="15"/>
      <c r="I481" s="59"/>
      <c r="J481" s="63"/>
    </row>
    <row r="482" spans="1:10" ht="30" customHeight="1">
      <c r="A482" s="12"/>
      <c r="B482" s="12"/>
      <c r="C482" s="12"/>
      <c r="D482" s="12"/>
      <c r="E482" s="12"/>
      <c r="F482" s="14"/>
      <c r="G482" s="14"/>
      <c r="H482" s="15"/>
      <c r="I482" s="59"/>
      <c r="J482" s="63"/>
    </row>
    <row r="483" spans="1:10" ht="30" customHeight="1">
      <c r="A483" s="12"/>
      <c r="B483" s="12"/>
      <c r="C483" s="12"/>
      <c r="D483" s="12"/>
      <c r="E483" s="12"/>
      <c r="F483" s="14"/>
      <c r="G483" s="14"/>
      <c r="H483" s="15"/>
      <c r="I483" s="59"/>
      <c r="J483" s="63"/>
    </row>
    <row r="484" spans="1:10" ht="30" customHeight="1">
      <c r="A484" s="12"/>
      <c r="B484" s="12"/>
      <c r="C484" s="12"/>
      <c r="D484" s="12"/>
      <c r="E484" s="12"/>
      <c r="F484" s="14"/>
      <c r="G484" s="14"/>
      <c r="H484" s="15"/>
      <c r="I484" s="59"/>
      <c r="J484" s="63"/>
    </row>
    <row r="485" spans="1:10" ht="30" customHeight="1">
      <c r="A485" s="12"/>
      <c r="B485" s="12"/>
      <c r="C485" s="12"/>
      <c r="D485" s="12"/>
      <c r="E485" s="12"/>
      <c r="F485" s="14"/>
      <c r="G485" s="14"/>
      <c r="H485" s="15"/>
      <c r="I485" s="59"/>
      <c r="J485" s="63"/>
    </row>
    <row r="486" spans="1:10" ht="30" customHeight="1">
      <c r="A486" s="12"/>
      <c r="B486" s="12"/>
      <c r="C486" s="12"/>
      <c r="D486" s="12"/>
      <c r="E486" s="12"/>
      <c r="F486" s="14"/>
      <c r="G486" s="14"/>
      <c r="H486" s="15"/>
      <c r="I486" s="59"/>
      <c r="J486" s="63"/>
    </row>
    <row r="487" spans="1:10" ht="30" customHeight="1">
      <c r="A487" s="12"/>
      <c r="B487" s="12"/>
      <c r="C487" s="12"/>
      <c r="D487" s="12"/>
      <c r="E487" s="12"/>
      <c r="F487" s="14"/>
      <c r="G487" s="14"/>
      <c r="H487" s="15"/>
      <c r="I487" s="59"/>
      <c r="J487" s="63"/>
    </row>
    <row r="488" spans="1:10" ht="30" customHeight="1">
      <c r="A488" s="12"/>
      <c r="B488" s="12"/>
      <c r="C488" s="12"/>
      <c r="D488" s="12"/>
      <c r="E488" s="12"/>
      <c r="F488" s="14"/>
      <c r="G488" s="14"/>
      <c r="H488" s="15"/>
      <c r="I488" s="59"/>
      <c r="J488" s="63"/>
    </row>
    <row r="489" spans="1:10" ht="30" customHeight="1">
      <c r="A489" s="12"/>
      <c r="B489" s="12"/>
      <c r="C489" s="12"/>
      <c r="D489" s="12"/>
      <c r="E489" s="12"/>
      <c r="F489" s="14"/>
      <c r="G489" s="14"/>
      <c r="H489" s="15"/>
      <c r="I489" s="59"/>
      <c r="J489" s="63"/>
    </row>
    <row r="490" spans="1:10" ht="30" customHeight="1">
      <c r="A490" s="12"/>
      <c r="B490" s="12"/>
      <c r="C490" s="12"/>
      <c r="D490" s="12"/>
      <c r="E490" s="12"/>
      <c r="F490" s="14"/>
      <c r="G490" s="14"/>
      <c r="H490" s="15"/>
      <c r="I490" s="59"/>
      <c r="J490" s="63"/>
    </row>
    <row r="491" spans="1:10" ht="30" customHeight="1">
      <c r="A491" s="12"/>
      <c r="B491" s="12"/>
      <c r="C491" s="12"/>
      <c r="D491" s="12"/>
      <c r="E491" s="12"/>
      <c r="F491" s="14"/>
      <c r="G491" s="14"/>
      <c r="H491" s="15"/>
      <c r="I491" s="59"/>
      <c r="J491" s="63"/>
    </row>
    <row r="492" spans="1:10" ht="30" customHeight="1">
      <c r="A492" s="12"/>
      <c r="B492" s="12"/>
      <c r="C492" s="12"/>
      <c r="D492" s="12"/>
      <c r="E492" s="12"/>
      <c r="F492" s="14"/>
      <c r="G492" s="14"/>
      <c r="H492" s="15"/>
      <c r="I492" s="59"/>
      <c r="J492" s="63"/>
    </row>
    <row r="493" spans="1:10" ht="30" customHeight="1">
      <c r="A493" s="12"/>
      <c r="B493" s="12"/>
      <c r="C493" s="12"/>
      <c r="D493" s="12"/>
      <c r="E493" s="12"/>
      <c r="F493" s="14"/>
      <c r="G493" s="14"/>
      <c r="H493" s="15"/>
      <c r="I493" s="59"/>
      <c r="J493" s="63"/>
    </row>
    <row r="494" spans="1:10" ht="30" customHeight="1">
      <c r="A494" s="12"/>
      <c r="B494" s="12"/>
      <c r="C494" s="12"/>
      <c r="D494" s="12"/>
      <c r="E494" s="12"/>
      <c r="F494" s="14"/>
      <c r="G494" s="14"/>
      <c r="H494" s="15"/>
      <c r="I494" s="59"/>
      <c r="J494" s="63"/>
    </row>
    <row r="495" spans="1:10" ht="30" customHeight="1">
      <c r="A495" s="12"/>
      <c r="B495" s="12"/>
      <c r="C495" s="12"/>
      <c r="D495" s="12"/>
      <c r="E495" s="12"/>
      <c r="F495" s="14"/>
      <c r="G495" s="14"/>
      <c r="H495" s="15"/>
      <c r="I495" s="59"/>
      <c r="J495" s="63"/>
    </row>
    <row r="496" spans="1:10" ht="30" customHeight="1">
      <c r="A496" s="12"/>
      <c r="B496" s="12"/>
      <c r="C496" s="12"/>
      <c r="D496" s="12"/>
      <c r="E496" s="12"/>
      <c r="F496" s="14"/>
      <c r="G496" s="14"/>
      <c r="H496" s="15"/>
      <c r="I496" s="59"/>
      <c r="J496" s="63"/>
    </row>
    <row r="497" spans="1:10" ht="30" customHeight="1">
      <c r="A497" s="12"/>
      <c r="B497" s="12"/>
      <c r="C497" s="12"/>
      <c r="D497" s="12"/>
      <c r="E497" s="12"/>
      <c r="F497" s="14"/>
      <c r="G497" s="14"/>
      <c r="H497" s="15"/>
      <c r="I497" s="59"/>
      <c r="J497" s="63"/>
    </row>
    <row r="498" spans="1:10" ht="30" customHeight="1">
      <c r="A498" s="12"/>
      <c r="B498" s="12"/>
      <c r="C498" s="12"/>
      <c r="D498" s="12"/>
      <c r="E498" s="12"/>
      <c r="F498" s="14"/>
      <c r="G498" s="14"/>
      <c r="H498" s="15"/>
      <c r="I498" s="59"/>
      <c r="J498" s="63"/>
    </row>
    <row r="499" spans="1:10" ht="30" customHeight="1">
      <c r="A499" s="12"/>
      <c r="B499" s="12"/>
      <c r="C499" s="12"/>
      <c r="D499" s="12"/>
      <c r="E499" s="12"/>
      <c r="F499" s="14"/>
      <c r="G499" s="14"/>
      <c r="H499" s="15"/>
      <c r="I499" s="59"/>
      <c r="J499" s="63"/>
    </row>
    <row r="500" spans="1:10" ht="30" customHeight="1">
      <c r="A500" s="12"/>
      <c r="B500" s="12"/>
      <c r="C500" s="12"/>
      <c r="D500" s="12"/>
      <c r="E500" s="12"/>
      <c r="F500" s="14"/>
      <c r="G500" s="14"/>
      <c r="H500" s="15"/>
      <c r="I500" s="59"/>
      <c r="J500" s="63"/>
    </row>
    <row r="501" spans="1:10" ht="30" customHeight="1">
      <c r="A501" s="12"/>
      <c r="B501" s="12"/>
      <c r="C501" s="12"/>
      <c r="D501" s="12"/>
      <c r="E501" s="12"/>
      <c r="F501" s="14"/>
      <c r="G501" s="14"/>
      <c r="H501" s="15"/>
      <c r="I501" s="59"/>
      <c r="J501" s="63"/>
    </row>
    <row r="502" spans="1:10" ht="30" customHeight="1">
      <c r="A502" s="12"/>
      <c r="B502" s="12"/>
      <c r="C502" s="12"/>
      <c r="D502" s="12"/>
      <c r="E502" s="12"/>
      <c r="F502" s="14"/>
      <c r="G502" s="14"/>
      <c r="H502" s="15"/>
      <c r="I502" s="59"/>
      <c r="J502" s="63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X700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7.7109375" customWidth="1"/>
    <col min="2" max="2" width="25.5703125" customWidth="1"/>
    <col min="4" max="4" width="14.5703125" customWidth="1"/>
    <col min="6" max="6" width="13.7109375" customWidth="1"/>
    <col min="7" max="7" width="15" customWidth="1"/>
    <col min="8" max="8" width="14.42578125" customWidth="1"/>
    <col min="15" max="15" width="16.5703125" customWidth="1"/>
    <col min="17" max="17" width="14" customWidth="1"/>
    <col min="18" max="24" width="16.28515625" customWidth="1"/>
  </cols>
  <sheetData>
    <row r="1" spans="1:24">
      <c r="A1" s="1" t="s">
        <v>0</v>
      </c>
      <c r="B1" s="1" t="s">
        <v>1</v>
      </c>
      <c r="C1" s="1" t="s">
        <v>2</v>
      </c>
      <c r="D1" s="2" t="s">
        <v>3</v>
      </c>
      <c r="E1" s="2" t="s">
        <v>226</v>
      </c>
      <c r="F1" s="3" t="s">
        <v>5</v>
      </c>
      <c r="G1" s="4" t="s">
        <v>227</v>
      </c>
      <c r="H1" s="3" t="s">
        <v>7</v>
      </c>
      <c r="I1" s="3" t="s">
        <v>8</v>
      </c>
      <c r="J1" s="5" t="s">
        <v>228</v>
      </c>
      <c r="K1" s="5" t="s">
        <v>9</v>
      </c>
      <c r="L1" s="5" t="s">
        <v>229</v>
      </c>
      <c r="M1" s="6" t="s">
        <v>11</v>
      </c>
      <c r="N1" s="6" t="s">
        <v>230</v>
      </c>
      <c r="O1" s="16" t="s">
        <v>231</v>
      </c>
      <c r="P1" s="17" t="s">
        <v>14</v>
      </c>
      <c r="Q1" s="17" t="s">
        <v>232</v>
      </c>
      <c r="R1" s="17" t="s">
        <v>233</v>
      </c>
      <c r="S1" s="16" t="s">
        <v>234</v>
      </c>
      <c r="T1" s="17" t="s">
        <v>235</v>
      </c>
      <c r="U1" s="17" t="s">
        <v>236</v>
      </c>
      <c r="V1" s="17" t="s">
        <v>237</v>
      </c>
      <c r="W1" s="17" t="s">
        <v>238</v>
      </c>
      <c r="X1" s="17" t="s">
        <v>239</v>
      </c>
    </row>
    <row r="2" spans="1:24">
      <c r="A2" s="18" t="str">
        <f ca="1">IFERROR(__xludf.DUMMYFUNCTION("{QUERY(GCONTROL!A3:V700,""SELECT * WHERE A IS NOT NULL"",0);QUERY('Grupo 1 Trat2'!A3:V700,""SELECT * WHERE A IS NOT NULL"",0)}"),"#VALUE!")</f>
        <v>#VALUE!</v>
      </c>
      <c r="B2" s="18"/>
      <c r="C2" s="18"/>
      <c r="D2" s="18"/>
      <c r="E2" s="18"/>
      <c r="F2" s="18"/>
      <c r="G2" s="13"/>
      <c r="H2" s="18"/>
      <c r="I2" s="18"/>
      <c r="J2" s="19"/>
      <c r="K2" s="18"/>
      <c r="L2" s="19"/>
      <c r="M2" s="18"/>
      <c r="N2" s="18"/>
      <c r="O2" s="20"/>
      <c r="P2" s="13"/>
      <c r="Q2" s="21"/>
      <c r="R2" s="21"/>
      <c r="S2" s="21"/>
      <c r="T2" s="13"/>
      <c r="U2" s="13"/>
      <c r="V2" s="22"/>
      <c r="W2" s="22" t="str">
        <f t="array" aca="1" ref="W2" ca="1">IF(A2="","",IFERROR(INDEX(PARAMETROS!$J$2:$J700,MATCH(H2,PARAMETROS!$E$2:$E700,0)),""))</f>
        <v/>
      </c>
      <c r="X2" s="23" t="e">
        <f t="shared" ref="X2:X256" ca="1" si="0">IF(A2="","",Q2/T2)</f>
        <v>#DIV/0!</v>
      </c>
    </row>
    <row r="3" spans="1:24">
      <c r="A3" s="18"/>
      <c r="B3" s="18"/>
      <c r="C3" s="18"/>
      <c r="D3" s="18"/>
      <c r="E3" s="18"/>
      <c r="F3" s="18"/>
      <c r="G3" s="13"/>
      <c r="H3" s="18"/>
      <c r="I3" s="18"/>
      <c r="J3" s="19"/>
      <c r="K3" s="18"/>
      <c r="L3" s="19"/>
      <c r="M3" s="18"/>
      <c r="N3" s="18"/>
      <c r="O3" s="20"/>
      <c r="P3" s="13"/>
      <c r="Q3" s="21"/>
      <c r="R3" s="21"/>
      <c r="S3" s="21"/>
      <c r="T3" s="13"/>
      <c r="U3" s="13"/>
      <c r="V3" s="22"/>
      <c r="W3" s="22" t="str">
        <f t="array" ref="W3">IF(A3="","",IFERROR(INDEX(PARAMETROS!$J$2:$J700,MATCH(H3,PARAMETROS!$E$2:$E700,0)),""))</f>
        <v/>
      </c>
      <c r="X3" s="23" t="str">
        <f t="shared" si="0"/>
        <v/>
      </c>
    </row>
    <row r="4" spans="1:24">
      <c r="A4" s="18"/>
      <c r="B4" s="18"/>
      <c r="C4" s="18"/>
      <c r="D4" s="18"/>
      <c r="E4" s="18"/>
      <c r="F4" s="18"/>
      <c r="G4" s="13"/>
      <c r="H4" s="18"/>
      <c r="I4" s="18"/>
      <c r="J4" s="19"/>
      <c r="K4" s="18"/>
      <c r="L4" s="19"/>
      <c r="M4" s="18"/>
      <c r="N4" s="18"/>
      <c r="O4" s="20"/>
      <c r="P4" s="13"/>
      <c r="Q4" s="21"/>
      <c r="R4" s="21"/>
      <c r="S4" s="21"/>
      <c r="T4" s="13"/>
      <c r="U4" s="13"/>
      <c r="V4" s="22"/>
      <c r="W4" s="22" t="str">
        <f t="array" ref="W4">IF(A4="","",IFERROR(INDEX(PARAMETROS!$J$2:$J700,MATCH(H4,PARAMETROS!$E$2:$E700,0)),""))</f>
        <v/>
      </c>
      <c r="X4" s="23" t="str">
        <f t="shared" si="0"/>
        <v/>
      </c>
    </row>
    <row r="5" spans="1:24">
      <c r="A5" s="18"/>
      <c r="B5" s="18"/>
      <c r="C5" s="18"/>
      <c r="D5" s="18"/>
      <c r="E5" s="18"/>
      <c r="F5" s="18"/>
      <c r="G5" s="13"/>
      <c r="H5" s="18"/>
      <c r="I5" s="18"/>
      <c r="J5" s="19"/>
      <c r="K5" s="18"/>
      <c r="L5" s="19"/>
      <c r="M5" s="18"/>
      <c r="N5" s="18"/>
      <c r="O5" s="20"/>
      <c r="P5" s="13"/>
      <c r="Q5" s="21"/>
      <c r="R5" s="21"/>
      <c r="S5" s="21"/>
      <c r="T5" s="13"/>
      <c r="U5" s="13"/>
      <c r="V5" s="22"/>
      <c r="W5" s="22" t="str">
        <f t="array" ref="W5">IF(A5="","",IFERROR(INDEX(PARAMETROS!$J$2:$J700,MATCH(H5,PARAMETROS!$E$2:$E700,0)),""))</f>
        <v/>
      </c>
      <c r="X5" s="23" t="str">
        <f t="shared" si="0"/>
        <v/>
      </c>
    </row>
    <row r="6" spans="1:24">
      <c r="A6" s="18"/>
      <c r="B6" s="18"/>
      <c r="C6" s="18"/>
      <c r="D6" s="18"/>
      <c r="E6" s="18"/>
      <c r="F6" s="18"/>
      <c r="G6" s="13"/>
      <c r="H6" s="18"/>
      <c r="I6" s="18"/>
      <c r="J6" s="19"/>
      <c r="K6" s="18"/>
      <c r="L6" s="19"/>
      <c r="M6" s="18"/>
      <c r="N6" s="18"/>
      <c r="O6" s="20"/>
      <c r="P6" s="13"/>
      <c r="Q6" s="21"/>
      <c r="R6" s="21"/>
      <c r="S6" s="21"/>
      <c r="T6" s="13"/>
      <c r="U6" s="13"/>
      <c r="V6" s="22"/>
      <c r="W6" s="22" t="str">
        <f t="array" ref="W6">IF(A6="","",IFERROR(INDEX(PARAMETROS!$J$2:$J700,MATCH(H6,PARAMETROS!$E$2:$E700,0)),""))</f>
        <v/>
      </c>
      <c r="X6" s="23" t="str">
        <f t="shared" si="0"/>
        <v/>
      </c>
    </row>
    <row r="7" spans="1:24">
      <c r="A7" s="18"/>
      <c r="B7" s="18"/>
      <c r="C7" s="18"/>
      <c r="D7" s="18"/>
      <c r="E7" s="18"/>
      <c r="F7" s="18"/>
      <c r="G7" s="13"/>
      <c r="H7" s="18"/>
      <c r="I7" s="18"/>
      <c r="J7" s="19"/>
      <c r="K7" s="18"/>
      <c r="L7" s="19"/>
      <c r="M7" s="18"/>
      <c r="N7" s="18"/>
      <c r="O7" s="20"/>
      <c r="P7" s="13"/>
      <c r="Q7" s="21"/>
      <c r="R7" s="21"/>
      <c r="S7" s="21"/>
      <c r="T7" s="13"/>
      <c r="U7" s="13"/>
      <c r="V7" s="22"/>
      <c r="W7" s="22" t="str">
        <f t="array" ref="W7">IF(A7="","",IFERROR(INDEX(PARAMETROS!$J$2:$J700,MATCH(H7,PARAMETROS!$E$2:$E700,0)),""))</f>
        <v/>
      </c>
      <c r="X7" s="23" t="str">
        <f t="shared" si="0"/>
        <v/>
      </c>
    </row>
    <row r="8" spans="1:24">
      <c r="A8" s="18"/>
      <c r="B8" s="18"/>
      <c r="C8" s="18"/>
      <c r="D8" s="18"/>
      <c r="E8" s="18"/>
      <c r="F8" s="18"/>
      <c r="G8" s="13"/>
      <c r="H8" s="18"/>
      <c r="I8" s="18"/>
      <c r="J8" s="19"/>
      <c r="K8" s="18"/>
      <c r="L8" s="19"/>
      <c r="M8" s="18"/>
      <c r="N8" s="18"/>
      <c r="O8" s="20"/>
      <c r="P8" s="13"/>
      <c r="Q8" s="21"/>
      <c r="R8" s="21"/>
      <c r="S8" s="21"/>
      <c r="T8" s="13"/>
      <c r="U8" s="13"/>
      <c r="V8" s="22"/>
      <c r="W8" s="22" t="str">
        <f t="array" ref="W8">IF(A8="","",IFERROR(INDEX(PARAMETROS!$J$2:$J700,MATCH(H8,PARAMETROS!$E$2:$E700,0)),""))</f>
        <v/>
      </c>
      <c r="X8" s="23" t="str">
        <f t="shared" si="0"/>
        <v/>
      </c>
    </row>
    <row r="9" spans="1:24">
      <c r="A9" s="18"/>
      <c r="B9" s="18"/>
      <c r="C9" s="18"/>
      <c r="D9" s="18"/>
      <c r="E9" s="18"/>
      <c r="F9" s="18"/>
      <c r="G9" s="13"/>
      <c r="H9" s="18"/>
      <c r="I9" s="18"/>
      <c r="J9" s="19"/>
      <c r="K9" s="18"/>
      <c r="L9" s="19"/>
      <c r="M9" s="18"/>
      <c r="N9" s="18"/>
      <c r="O9" s="20"/>
      <c r="P9" s="13"/>
      <c r="Q9" s="21"/>
      <c r="R9" s="21"/>
      <c r="S9" s="21"/>
      <c r="T9" s="13"/>
      <c r="U9" s="13"/>
      <c r="V9" s="22"/>
      <c r="W9" s="22" t="str">
        <f t="array" ref="W9">IF(A9="","",IFERROR(INDEX(PARAMETROS!$J$2:$J700,MATCH(H9,PARAMETROS!$E$2:$E700,0)),""))</f>
        <v/>
      </c>
      <c r="X9" s="23" t="str">
        <f t="shared" si="0"/>
        <v/>
      </c>
    </row>
    <row r="10" spans="1:24">
      <c r="A10" s="18"/>
      <c r="B10" s="18"/>
      <c r="C10" s="18"/>
      <c r="D10" s="18"/>
      <c r="E10" s="18"/>
      <c r="F10" s="18"/>
      <c r="G10" s="13"/>
      <c r="H10" s="18"/>
      <c r="I10" s="18"/>
      <c r="J10" s="19"/>
      <c r="K10" s="18"/>
      <c r="L10" s="19"/>
      <c r="M10" s="18"/>
      <c r="N10" s="18"/>
      <c r="O10" s="20"/>
      <c r="P10" s="13"/>
      <c r="Q10" s="21"/>
      <c r="R10" s="21"/>
      <c r="S10" s="21"/>
      <c r="T10" s="13"/>
      <c r="U10" s="13"/>
      <c r="V10" s="22"/>
      <c r="W10" s="22" t="str">
        <f t="array" ref="W10">IF(A10="","",IFERROR(INDEX(PARAMETROS!$J$2:$J700,MATCH(H10,PARAMETROS!$E$2:$E700,0)),""))</f>
        <v/>
      </c>
      <c r="X10" s="23" t="str">
        <f t="shared" si="0"/>
        <v/>
      </c>
    </row>
    <row r="11" spans="1:24">
      <c r="A11" s="18"/>
      <c r="B11" s="18"/>
      <c r="C11" s="18"/>
      <c r="D11" s="18"/>
      <c r="E11" s="18"/>
      <c r="F11" s="18"/>
      <c r="G11" s="13"/>
      <c r="H11" s="18"/>
      <c r="I11" s="18"/>
      <c r="J11" s="19"/>
      <c r="K11" s="18"/>
      <c r="L11" s="19"/>
      <c r="M11" s="18"/>
      <c r="N11" s="18"/>
      <c r="O11" s="20"/>
      <c r="P11" s="13"/>
      <c r="Q11" s="21"/>
      <c r="R11" s="21"/>
      <c r="S11" s="21"/>
      <c r="T11" s="13"/>
      <c r="U11" s="13"/>
      <c r="V11" s="22"/>
      <c r="W11" s="22" t="str">
        <f t="array" ref="W11">IF(A11="","",IFERROR(INDEX(PARAMETROS!$J$2:$J700,MATCH(H11,PARAMETROS!$E$2:$E700,0)),""))</f>
        <v/>
      </c>
      <c r="X11" s="23" t="str">
        <f t="shared" si="0"/>
        <v/>
      </c>
    </row>
    <row r="12" spans="1:24">
      <c r="A12" s="18"/>
      <c r="B12" s="18"/>
      <c r="C12" s="18"/>
      <c r="D12" s="18"/>
      <c r="E12" s="18"/>
      <c r="F12" s="18"/>
      <c r="G12" s="13"/>
      <c r="H12" s="18"/>
      <c r="I12" s="18"/>
      <c r="J12" s="19"/>
      <c r="K12" s="18"/>
      <c r="L12" s="19"/>
      <c r="M12" s="18"/>
      <c r="N12" s="18"/>
      <c r="O12" s="20"/>
      <c r="P12" s="13"/>
      <c r="Q12" s="21"/>
      <c r="R12" s="21"/>
      <c r="S12" s="21"/>
      <c r="T12" s="13"/>
      <c r="U12" s="13"/>
      <c r="V12" s="22"/>
      <c r="W12" s="22" t="str">
        <f t="array" ref="W12">IF(A12="","",IFERROR(INDEX(PARAMETROS!$J$2:$J700,MATCH(H12,PARAMETROS!$E$2:$E700,0)),""))</f>
        <v/>
      </c>
      <c r="X12" s="23" t="str">
        <f t="shared" si="0"/>
        <v/>
      </c>
    </row>
    <row r="13" spans="1:24">
      <c r="A13" s="18"/>
      <c r="B13" s="18"/>
      <c r="C13" s="18"/>
      <c r="D13" s="18"/>
      <c r="E13" s="18"/>
      <c r="F13" s="18"/>
      <c r="G13" s="13"/>
      <c r="H13" s="18"/>
      <c r="I13" s="18"/>
      <c r="J13" s="19"/>
      <c r="K13" s="18"/>
      <c r="L13" s="19"/>
      <c r="M13" s="18"/>
      <c r="N13" s="18"/>
      <c r="O13" s="20"/>
      <c r="P13" s="13"/>
      <c r="Q13" s="21"/>
      <c r="R13" s="21"/>
      <c r="S13" s="21"/>
      <c r="T13" s="13"/>
      <c r="U13" s="13"/>
      <c r="V13" s="22"/>
      <c r="W13" s="22" t="str">
        <f t="array" ref="W13">IF(A13="","",IFERROR(INDEX(PARAMETROS!$J$2:$J700,MATCH(H13,PARAMETROS!$E$2:$E700,0)),""))</f>
        <v/>
      </c>
      <c r="X13" s="23" t="str">
        <f t="shared" si="0"/>
        <v/>
      </c>
    </row>
    <row r="14" spans="1:24">
      <c r="A14" s="18"/>
      <c r="B14" s="18"/>
      <c r="C14" s="18"/>
      <c r="D14" s="18"/>
      <c r="E14" s="18"/>
      <c r="F14" s="18"/>
      <c r="G14" s="13"/>
      <c r="H14" s="18"/>
      <c r="I14" s="18"/>
      <c r="J14" s="19"/>
      <c r="K14" s="18"/>
      <c r="L14" s="19"/>
      <c r="M14" s="18"/>
      <c r="N14" s="18"/>
      <c r="O14" s="20"/>
      <c r="P14" s="13"/>
      <c r="Q14" s="21"/>
      <c r="R14" s="21"/>
      <c r="S14" s="21"/>
      <c r="T14" s="13"/>
      <c r="U14" s="13"/>
      <c r="V14" s="22"/>
      <c r="W14" s="22" t="str">
        <f t="array" ref="W14">IF(A14="","",IFERROR(INDEX(PARAMETROS!$J$2:$J700,MATCH(H14,PARAMETROS!$E$2:$E700,0)),""))</f>
        <v/>
      </c>
      <c r="X14" s="23" t="str">
        <f t="shared" si="0"/>
        <v/>
      </c>
    </row>
    <row r="15" spans="1:24">
      <c r="A15" s="18"/>
      <c r="B15" s="18"/>
      <c r="C15" s="18"/>
      <c r="D15" s="18"/>
      <c r="E15" s="18"/>
      <c r="F15" s="18"/>
      <c r="G15" s="13"/>
      <c r="H15" s="18"/>
      <c r="I15" s="18"/>
      <c r="J15" s="19"/>
      <c r="K15" s="18"/>
      <c r="L15" s="19"/>
      <c r="M15" s="18"/>
      <c r="N15" s="18"/>
      <c r="O15" s="20"/>
      <c r="P15" s="13"/>
      <c r="Q15" s="21"/>
      <c r="R15" s="21"/>
      <c r="S15" s="21"/>
      <c r="T15" s="13"/>
      <c r="U15" s="13"/>
      <c r="V15" s="22"/>
      <c r="W15" s="22" t="str">
        <f t="array" ref="W15">IF(A15="","",IFERROR(INDEX(PARAMETROS!$J$2:$J700,MATCH(H15,PARAMETROS!$E$2:$E700,0)),""))</f>
        <v/>
      </c>
      <c r="X15" s="23" t="str">
        <f t="shared" si="0"/>
        <v/>
      </c>
    </row>
    <row r="16" spans="1:24">
      <c r="A16" s="18"/>
      <c r="B16" s="18"/>
      <c r="C16" s="18"/>
      <c r="D16" s="18"/>
      <c r="E16" s="18"/>
      <c r="F16" s="18"/>
      <c r="G16" s="13"/>
      <c r="H16" s="18"/>
      <c r="I16" s="18"/>
      <c r="J16" s="19"/>
      <c r="K16" s="18"/>
      <c r="L16" s="19"/>
      <c r="M16" s="18"/>
      <c r="N16" s="18"/>
      <c r="O16" s="20"/>
      <c r="P16" s="13"/>
      <c r="Q16" s="21"/>
      <c r="R16" s="21"/>
      <c r="S16" s="21"/>
      <c r="T16" s="13"/>
      <c r="U16" s="13"/>
      <c r="V16" s="22"/>
      <c r="W16" s="22" t="str">
        <f t="array" ref="W16">IF(A16="","",IFERROR(INDEX(PARAMETROS!$J$2:$J700,MATCH(H16,PARAMETROS!$E$2:$E700,0)),""))</f>
        <v/>
      </c>
      <c r="X16" s="23" t="str">
        <f t="shared" si="0"/>
        <v/>
      </c>
    </row>
    <row r="17" spans="1:24">
      <c r="A17" s="18"/>
      <c r="B17" s="18"/>
      <c r="C17" s="18"/>
      <c r="D17" s="18"/>
      <c r="E17" s="18"/>
      <c r="F17" s="18"/>
      <c r="G17" s="13"/>
      <c r="H17" s="18"/>
      <c r="I17" s="18"/>
      <c r="J17" s="19"/>
      <c r="K17" s="18"/>
      <c r="L17" s="19"/>
      <c r="M17" s="18"/>
      <c r="N17" s="18"/>
      <c r="O17" s="20"/>
      <c r="P17" s="13"/>
      <c r="Q17" s="21"/>
      <c r="R17" s="21"/>
      <c r="S17" s="21"/>
      <c r="T17" s="13"/>
      <c r="U17" s="13"/>
      <c r="V17" s="22"/>
      <c r="W17" s="22" t="str">
        <f t="array" ref="W17">IF(A17="","",IFERROR(INDEX(PARAMETROS!$J$2:$J700,MATCH(H17,PARAMETROS!$E$2:$E700,0)),""))</f>
        <v/>
      </c>
      <c r="X17" s="23" t="str">
        <f t="shared" si="0"/>
        <v/>
      </c>
    </row>
    <row r="18" spans="1:24">
      <c r="A18" s="18"/>
      <c r="B18" s="18"/>
      <c r="C18" s="18"/>
      <c r="D18" s="18"/>
      <c r="E18" s="18"/>
      <c r="F18" s="18"/>
      <c r="G18" s="13"/>
      <c r="H18" s="18"/>
      <c r="I18" s="18"/>
      <c r="J18" s="19"/>
      <c r="K18" s="18"/>
      <c r="L18" s="19"/>
      <c r="M18" s="18"/>
      <c r="N18" s="18"/>
      <c r="O18" s="20"/>
      <c r="P18" s="13"/>
      <c r="Q18" s="21"/>
      <c r="R18" s="21"/>
      <c r="S18" s="21"/>
      <c r="T18" s="13"/>
      <c r="U18" s="13"/>
      <c r="V18" s="22"/>
      <c r="W18" s="22" t="str">
        <f t="array" ref="W18">IF(A18="","",IFERROR(INDEX(PARAMETROS!$J$2:$J700,MATCH(H18,PARAMETROS!$E$2:$E700,0)),""))</f>
        <v/>
      </c>
      <c r="X18" s="23" t="str">
        <f t="shared" si="0"/>
        <v/>
      </c>
    </row>
    <row r="19" spans="1:24">
      <c r="A19" s="18"/>
      <c r="B19" s="18"/>
      <c r="C19" s="18"/>
      <c r="D19" s="18"/>
      <c r="E19" s="18"/>
      <c r="F19" s="18"/>
      <c r="G19" s="13"/>
      <c r="H19" s="18"/>
      <c r="I19" s="18"/>
      <c r="J19" s="19"/>
      <c r="K19" s="18"/>
      <c r="L19" s="19"/>
      <c r="M19" s="18"/>
      <c r="N19" s="18"/>
      <c r="O19" s="20"/>
      <c r="P19" s="13"/>
      <c r="Q19" s="21"/>
      <c r="R19" s="21"/>
      <c r="S19" s="21"/>
      <c r="T19" s="13"/>
      <c r="U19" s="13"/>
      <c r="V19" s="22"/>
      <c r="W19" s="22" t="str">
        <f t="array" ref="W19">IF(A19="","",IFERROR(INDEX(PARAMETROS!$J$2:$J700,MATCH(H19,PARAMETROS!$E$2:$E700,0)),""))</f>
        <v/>
      </c>
      <c r="X19" s="23" t="str">
        <f t="shared" si="0"/>
        <v/>
      </c>
    </row>
    <row r="20" spans="1:24">
      <c r="A20" s="18"/>
      <c r="B20" s="18"/>
      <c r="C20" s="18"/>
      <c r="D20" s="18"/>
      <c r="E20" s="18"/>
      <c r="F20" s="18"/>
      <c r="G20" s="13"/>
      <c r="H20" s="18"/>
      <c r="I20" s="18"/>
      <c r="J20" s="19"/>
      <c r="K20" s="18"/>
      <c r="L20" s="19"/>
      <c r="M20" s="18"/>
      <c r="N20" s="18"/>
      <c r="O20" s="20"/>
      <c r="P20" s="13"/>
      <c r="Q20" s="21"/>
      <c r="R20" s="21"/>
      <c r="S20" s="21"/>
      <c r="T20" s="13"/>
      <c r="U20" s="13"/>
      <c r="V20" s="22"/>
      <c r="W20" s="22" t="str">
        <f t="array" ref="W20">IF(A20="","",IFERROR(INDEX(PARAMETROS!$J$2:$J700,MATCH(H20,PARAMETROS!$E$2:$E700,0)),""))</f>
        <v/>
      </c>
      <c r="X20" s="23" t="str">
        <f t="shared" si="0"/>
        <v/>
      </c>
    </row>
    <row r="21" spans="1:24">
      <c r="A21" s="18"/>
      <c r="B21" s="18"/>
      <c r="C21" s="18"/>
      <c r="D21" s="18"/>
      <c r="E21" s="18"/>
      <c r="F21" s="18"/>
      <c r="G21" s="13"/>
      <c r="H21" s="18"/>
      <c r="I21" s="18"/>
      <c r="J21" s="19"/>
      <c r="K21" s="18"/>
      <c r="L21" s="19"/>
      <c r="M21" s="18"/>
      <c r="N21" s="18"/>
      <c r="O21" s="20"/>
      <c r="P21" s="13"/>
      <c r="Q21" s="21"/>
      <c r="R21" s="21"/>
      <c r="S21" s="21"/>
      <c r="T21" s="13"/>
      <c r="U21" s="13"/>
      <c r="V21" s="22"/>
      <c r="W21" s="22" t="str">
        <f t="array" ref="W21">IF(A21="","",IFERROR(INDEX(PARAMETROS!$J$2:$J700,MATCH(H21,PARAMETROS!$E$2:$E700,0)),""))</f>
        <v/>
      </c>
      <c r="X21" s="23" t="str">
        <f t="shared" si="0"/>
        <v/>
      </c>
    </row>
    <row r="22" spans="1:24">
      <c r="A22" s="18"/>
      <c r="B22" s="18"/>
      <c r="C22" s="18"/>
      <c r="D22" s="18"/>
      <c r="E22" s="18"/>
      <c r="F22" s="18"/>
      <c r="G22" s="13"/>
      <c r="H22" s="18"/>
      <c r="I22" s="18"/>
      <c r="J22" s="19"/>
      <c r="K22" s="18"/>
      <c r="L22" s="19"/>
      <c r="M22" s="18"/>
      <c r="N22" s="18"/>
      <c r="O22" s="20"/>
      <c r="P22" s="13"/>
      <c r="Q22" s="21"/>
      <c r="R22" s="21"/>
      <c r="S22" s="21"/>
      <c r="T22" s="13"/>
      <c r="U22" s="13"/>
      <c r="V22" s="22"/>
      <c r="W22" s="22" t="str">
        <f t="array" ref="W22">IF(A22="","",IFERROR(INDEX(PARAMETROS!$J$2:$J700,MATCH(H22,PARAMETROS!$E$2:$E700,0)),""))</f>
        <v/>
      </c>
      <c r="X22" s="23" t="str">
        <f t="shared" si="0"/>
        <v/>
      </c>
    </row>
    <row r="23" spans="1:24">
      <c r="A23" s="18"/>
      <c r="B23" s="18"/>
      <c r="C23" s="18"/>
      <c r="D23" s="18"/>
      <c r="E23" s="18"/>
      <c r="F23" s="18"/>
      <c r="G23" s="13"/>
      <c r="H23" s="18"/>
      <c r="I23" s="18"/>
      <c r="J23" s="19"/>
      <c r="K23" s="18"/>
      <c r="L23" s="19"/>
      <c r="M23" s="18"/>
      <c r="N23" s="18"/>
      <c r="O23" s="20"/>
      <c r="P23" s="13"/>
      <c r="Q23" s="21"/>
      <c r="R23" s="21"/>
      <c r="S23" s="21"/>
      <c r="T23" s="13"/>
      <c r="U23" s="13"/>
      <c r="V23" s="22"/>
      <c r="W23" s="22" t="str">
        <f t="array" ref="W23">IF(A23="","",IFERROR(INDEX(PARAMETROS!$J$2:$J700,MATCH(H23,PARAMETROS!$E$2:$E700,0)),""))</f>
        <v/>
      </c>
      <c r="X23" s="23" t="str">
        <f t="shared" si="0"/>
        <v/>
      </c>
    </row>
    <row r="24" spans="1:24">
      <c r="A24" s="18"/>
      <c r="B24" s="18"/>
      <c r="C24" s="18"/>
      <c r="D24" s="18"/>
      <c r="E24" s="18"/>
      <c r="F24" s="18"/>
      <c r="G24" s="13"/>
      <c r="H24" s="18"/>
      <c r="I24" s="18"/>
      <c r="J24" s="19"/>
      <c r="K24" s="18"/>
      <c r="L24" s="19"/>
      <c r="M24" s="18"/>
      <c r="N24" s="18"/>
      <c r="O24" s="20"/>
      <c r="P24" s="13"/>
      <c r="Q24" s="21"/>
      <c r="R24" s="21"/>
      <c r="S24" s="21"/>
      <c r="T24" s="13"/>
      <c r="U24" s="13"/>
      <c r="V24" s="22"/>
      <c r="W24" s="22" t="str">
        <f t="array" ref="W24">IF(A24="","",IFERROR(INDEX(PARAMETROS!$J$2:$J700,MATCH(H24,PARAMETROS!$E$2:$E700,0)),""))</f>
        <v/>
      </c>
      <c r="X24" s="23" t="str">
        <f t="shared" si="0"/>
        <v/>
      </c>
    </row>
    <row r="25" spans="1:24">
      <c r="A25" s="18"/>
      <c r="B25" s="18"/>
      <c r="C25" s="18"/>
      <c r="D25" s="18"/>
      <c r="E25" s="18"/>
      <c r="F25" s="18"/>
      <c r="G25" s="13"/>
      <c r="H25" s="18"/>
      <c r="I25" s="18"/>
      <c r="J25" s="19"/>
      <c r="K25" s="18"/>
      <c r="L25" s="19"/>
      <c r="M25" s="18"/>
      <c r="N25" s="18"/>
      <c r="O25" s="20"/>
      <c r="P25" s="13"/>
      <c r="Q25" s="21"/>
      <c r="R25" s="21"/>
      <c r="S25" s="21"/>
      <c r="T25" s="13"/>
      <c r="U25" s="13"/>
      <c r="V25" s="22"/>
      <c r="W25" s="22" t="str">
        <f t="array" ref="W25">IF(A25="","",IFERROR(INDEX(PARAMETROS!$J$2:$J700,MATCH(H25,PARAMETROS!$E$2:$E700,0)),""))</f>
        <v/>
      </c>
      <c r="X25" s="23" t="str">
        <f t="shared" si="0"/>
        <v/>
      </c>
    </row>
    <row r="26" spans="1:24">
      <c r="A26" s="18"/>
      <c r="B26" s="18"/>
      <c r="C26" s="18"/>
      <c r="D26" s="18"/>
      <c r="E26" s="18"/>
      <c r="F26" s="18"/>
      <c r="G26" s="13"/>
      <c r="H26" s="18"/>
      <c r="I26" s="18"/>
      <c r="J26" s="19"/>
      <c r="K26" s="18"/>
      <c r="L26" s="19"/>
      <c r="M26" s="18"/>
      <c r="N26" s="18"/>
      <c r="O26" s="20"/>
      <c r="P26" s="13"/>
      <c r="Q26" s="21"/>
      <c r="R26" s="21"/>
      <c r="S26" s="21"/>
      <c r="T26" s="13"/>
      <c r="U26" s="13"/>
      <c r="V26" s="22"/>
      <c r="W26" s="22" t="str">
        <f t="array" ref="W26">IF(A26="","",IFERROR(INDEX(PARAMETROS!$J$2:$J700,MATCH(H26,PARAMETROS!$E$2:$E700,0)),""))</f>
        <v/>
      </c>
      <c r="X26" s="23" t="str">
        <f t="shared" si="0"/>
        <v/>
      </c>
    </row>
    <row r="27" spans="1:24">
      <c r="A27" s="18"/>
      <c r="B27" s="18"/>
      <c r="C27" s="18"/>
      <c r="D27" s="18"/>
      <c r="E27" s="18"/>
      <c r="F27" s="18"/>
      <c r="G27" s="13"/>
      <c r="H27" s="18"/>
      <c r="I27" s="18"/>
      <c r="J27" s="19"/>
      <c r="K27" s="18"/>
      <c r="L27" s="19"/>
      <c r="M27" s="18"/>
      <c r="N27" s="18"/>
      <c r="O27" s="20"/>
      <c r="P27" s="13"/>
      <c r="Q27" s="21"/>
      <c r="R27" s="21"/>
      <c r="S27" s="21"/>
      <c r="T27" s="13"/>
      <c r="U27" s="13"/>
      <c r="V27" s="22"/>
      <c r="W27" s="22" t="str">
        <f t="array" ref="W27">IF(A27="","",IFERROR(INDEX(PARAMETROS!$J$2:$J700,MATCH(H27,PARAMETROS!$E$2:$E700,0)),""))</f>
        <v/>
      </c>
      <c r="X27" s="23" t="str">
        <f t="shared" si="0"/>
        <v/>
      </c>
    </row>
    <row r="28" spans="1:24">
      <c r="A28" s="18"/>
      <c r="B28" s="18"/>
      <c r="C28" s="18"/>
      <c r="D28" s="18"/>
      <c r="E28" s="18"/>
      <c r="F28" s="18"/>
      <c r="G28" s="13"/>
      <c r="H28" s="18"/>
      <c r="I28" s="18"/>
      <c r="J28" s="19"/>
      <c r="K28" s="18"/>
      <c r="L28" s="19"/>
      <c r="M28" s="18"/>
      <c r="N28" s="18"/>
      <c r="O28" s="20"/>
      <c r="P28" s="13"/>
      <c r="Q28" s="21"/>
      <c r="R28" s="21"/>
      <c r="S28" s="21"/>
      <c r="T28" s="13"/>
      <c r="U28" s="13"/>
      <c r="V28" s="22"/>
      <c r="W28" s="22" t="str">
        <f t="array" ref="W28">IF(A28="","",IFERROR(INDEX(PARAMETROS!$J$2:$J700,MATCH(H28,PARAMETROS!$E$2:$E700,0)),""))</f>
        <v/>
      </c>
      <c r="X28" s="23" t="str">
        <f t="shared" si="0"/>
        <v/>
      </c>
    </row>
    <row r="29" spans="1:24">
      <c r="A29" s="18"/>
      <c r="B29" s="18"/>
      <c r="C29" s="18"/>
      <c r="D29" s="18"/>
      <c r="E29" s="18"/>
      <c r="F29" s="18"/>
      <c r="G29" s="13"/>
      <c r="H29" s="18"/>
      <c r="I29" s="18"/>
      <c r="J29" s="19"/>
      <c r="K29" s="18"/>
      <c r="L29" s="19"/>
      <c r="M29" s="18"/>
      <c r="N29" s="18"/>
      <c r="O29" s="20"/>
      <c r="P29" s="13"/>
      <c r="Q29" s="21"/>
      <c r="R29" s="21"/>
      <c r="S29" s="21"/>
      <c r="T29" s="13"/>
      <c r="U29" s="13"/>
      <c r="V29" s="22"/>
      <c r="W29" s="22" t="str">
        <f t="array" ref="W29">IF(A29="","",IFERROR(INDEX(PARAMETROS!$J$2:$J700,MATCH(H29,PARAMETROS!$E$2:$E700,0)),""))</f>
        <v/>
      </c>
      <c r="X29" s="23" t="str">
        <f t="shared" si="0"/>
        <v/>
      </c>
    </row>
    <row r="30" spans="1:24">
      <c r="A30" s="18"/>
      <c r="B30" s="18"/>
      <c r="C30" s="18"/>
      <c r="D30" s="18"/>
      <c r="E30" s="18"/>
      <c r="F30" s="18"/>
      <c r="G30" s="13"/>
      <c r="H30" s="18"/>
      <c r="I30" s="18"/>
      <c r="J30" s="19"/>
      <c r="K30" s="18"/>
      <c r="L30" s="19"/>
      <c r="M30" s="18"/>
      <c r="N30" s="18"/>
      <c r="O30" s="20"/>
      <c r="P30" s="13"/>
      <c r="Q30" s="21"/>
      <c r="R30" s="21"/>
      <c r="S30" s="21"/>
      <c r="T30" s="13"/>
      <c r="U30" s="13"/>
      <c r="V30" s="22"/>
      <c r="W30" s="22" t="str">
        <f t="array" ref="W30">IF(A30="","",IFERROR(INDEX(PARAMETROS!$J$2:$J700,MATCH(H30,PARAMETROS!$E$2:$E700,0)),""))</f>
        <v/>
      </c>
      <c r="X30" s="23" t="str">
        <f t="shared" si="0"/>
        <v/>
      </c>
    </row>
    <row r="31" spans="1:24">
      <c r="A31" s="18"/>
      <c r="B31" s="18"/>
      <c r="C31" s="18"/>
      <c r="D31" s="18"/>
      <c r="E31" s="18"/>
      <c r="F31" s="18"/>
      <c r="G31" s="13"/>
      <c r="H31" s="18"/>
      <c r="I31" s="18"/>
      <c r="J31" s="19"/>
      <c r="K31" s="18"/>
      <c r="L31" s="19"/>
      <c r="M31" s="18"/>
      <c r="N31" s="18"/>
      <c r="O31" s="20"/>
      <c r="P31" s="13"/>
      <c r="Q31" s="21"/>
      <c r="R31" s="21"/>
      <c r="S31" s="21"/>
      <c r="T31" s="13"/>
      <c r="U31" s="13"/>
      <c r="V31" s="22"/>
      <c r="W31" s="22" t="str">
        <f t="array" ref="W31">IF(A31="","",IFERROR(INDEX(PARAMETROS!$J$2:$J700,MATCH(H31,PARAMETROS!$E$2:$E700,0)),""))</f>
        <v/>
      </c>
      <c r="X31" s="23" t="str">
        <f t="shared" si="0"/>
        <v/>
      </c>
    </row>
    <row r="32" spans="1:24">
      <c r="A32" s="18"/>
      <c r="B32" s="18"/>
      <c r="C32" s="18"/>
      <c r="D32" s="18"/>
      <c r="E32" s="18"/>
      <c r="F32" s="18"/>
      <c r="G32" s="13"/>
      <c r="H32" s="18"/>
      <c r="I32" s="18"/>
      <c r="J32" s="19"/>
      <c r="K32" s="18"/>
      <c r="L32" s="19"/>
      <c r="M32" s="18"/>
      <c r="N32" s="18"/>
      <c r="O32" s="20"/>
      <c r="P32" s="13"/>
      <c r="Q32" s="21"/>
      <c r="R32" s="21"/>
      <c r="S32" s="21"/>
      <c r="T32" s="13"/>
      <c r="U32" s="13"/>
      <c r="V32" s="22"/>
      <c r="W32" s="22" t="str">
        <f t="array" ref="W32">IF(A32="","",IFERROR(INDEX(PARAMETROS!$J$2:$J700,MATCH(H32,PARAMETROS!$E$2:$E700,0)),""))</f>
        <v/>
      </c>
      <c r="X32" s="23" t="str">
        <f t="shared" si="0"/>
        <v/>
      </c>
    </row>
    <row r="33" spans="1:24">
      <c r="A33" s="18"/>
      <c r="B33" s="18"/>
      <c r="C33" s="18"/>
      <c r="D33" s="18"/>
      <c r="E33" s="18"/>
      <c r="F33" s="18"/>
      <c r="G33" s="13"/>
      <c r="H33" s="18"/>
      <c r="I33" s="18"/>
      <c r="J33" s="19"/>
      <c r="K33" s="18"/>
      <c r="L33" s="19"/>
      <c r="M33" s="18"/>
      <c r="N33" s="18"/>
      <c r="O33" s="20"/>
      <c r="P33" s="13"/>
      <c r="Q33" s="21"/>
      <c r="R33" s="21"/>
      <c r="S33" s="21"/>
      <c r="T33" s="13"/>
      <c r="U33" s="13"/>
      <c r="V33" s="22"/>
      <c r="W33" s="22" t="str">
        <f t="array" ref="W33">IF(A33="","",IFERROR(INDEX(PARAMETROS!$J$2:$J700,MATCH(H33,PARAMETROS!$E$2:$E700,0)),""))</f>
        <v/>
      </c>
      <c r="X33" s="23" t="str">
        <f t="shared" si="0"/>
        <v/>
      </c>
    </row>
    <row r="34" spans="1:24">
      <c r="A34" s="18"/>
      <c r="B34" s="18"/>
      <c r="C34" s="18"/>
      <c r="D34" s="18"/>
      <c r="E34" s="18"/>
      <c r="F34" s="18"/>
      <c r="G34" s="13"/>
      <c r="H34" s="18"/>
      <c r="I34" s="18"/>
      <c r="J34" s="19"/>
      <c r="K34" s="18"/>
      <c r="L34" s="19"/>
      <c r="M34" s="18"/>
      <c r="N34" s="18"/>
      <c r="O34" s="20"/>
      <c r="P34" s="13"/>
      <c r="Q34" s="21"/>
      <c r="R34" s="21"/>
      <c r="S34" s="21"/>
      <c r="T34" s="13"/>
      <c r="U34" s="13"/>
      <c r="V34" s="22"/>
      <c r="W34" s="22" t="str">
        <f t="array" ref="W34">IF(A34="","",IFERROR(INDEX(PARAMETROS!$J$2:$J700,MATCH(H34,PARAMETROS!$E$2:$E700,0)),""))</f>
        <v/>
      </c>
      <c r="X34" s="23" t="str">
        <f t="shared" si="0"/>
        <v/>
      </c>
    </row>
    <row r="35" spans="1:24">
      <c r="A35" s="18"/>
      <c r="B35" s="18"/>
      <c r="C35" s="18"/>
      <c r="D35" s="18"/>
      <c r="E35" s="18"/>
      <c r="F35" s="18"/>
      <c r="G35" s="13"/>
      <c r="H35" s="18"/>
      <c r="I35" s="18"/>
      <c r="J35" s="19"/>
      <c r="K35" s="18"/>
      <c r="L35" s="19"/>
      <c r="M35" s="18"/>
      <c r="N35" s="18"/>
      <c r="O35" s="20"/>
      <c r="P35" s="13"/>
      <c r="Q35" s="21"/>
      <c r="R35" s="21"/>
      <c r="S35" s="21"/>
      <c r="T35" s="13"/>
      <c r="U35" s="13"/>
      <c r="V35" s="22"/>
      <c r="W35" s="22" t="str">
        <f t="array" ref="W35">IF(A35="","",IFERROR(INDEX(PARAMETROS!$J$2:$J700,MATCH(H35,PARAMETROS!$E$2:$E700,0)),""))</f>
        <v/>
      </c>
      <c r="X35" s="23" t="str">
        <f t="shared" si="0"/>
        <v/>
      </c>
    </row>
    <row r="36" spans="1:24">
      <c r="A36" s="18"/>
      <c r="B36" s="18"/>
      <c r="C36" s="18"/>
      <c r="D36" s="18"/>
      <c r="E36" s="18"/>
      <c r="F36" s="18"/>
      <c r="G36" s="13"/>
      <c r="H36" s="18"/>
      <c r="I36" s="18"/>
      <c r="J36" s="19"/>
      <c r="K36" s="18"/>
      <c r="L36" s="19"/>
      <c r="M36" s="18"/>
      <c r="N36" s="18"/>
      <c r="O36" s="20"/>
      <c r="P36" s="13"/>
      <c r="Q36" s="21"/>
      <c r="R36" s="21"/>
      <c r="S36" s="21"/>
      <c r="T36" s="13"/>
      <c r="U36" s="13"/>
      <c r="V36" s="22"/>
      <c r="W36" s="22" t="str">
        <f t="array" ref="W36">IF(A36="","",IFERROR(INDEX(PARAMETROS!$J$2:$J700,MATCH(H36,PARAMETROS!$E$2:$E700,0)),""))</f>
        <v/>
      </c>
      <c r="X36" s="23" t="str">
        <f t="shared" si="0"/>
        <v/>
      </c>
    </row>
    <row r="37" spans="1:24">
      <c r="A37" s="18"/>
      <c r="B37" s="18"/>
      <c r="C37" s="18"/>
      <c r="D37" s="18"/>
      <c r="E37" s="18"/>
      <c r="F37" s="18"/>
      <c r="G37" s="13"/>
      <c r="H37" s="18"/>
      <c r="I37" s="18"/>
      <c r="J37" s="19"/>
      <c r="K37" s="18"/>
      <c r="L37" s="19"/>
      <c r="M37" s="18"/>
      <c r="N37" s="18"/>
      <c r="O37" s="20"/>
      <c r="P37" s="13"/>
      <c r="Q37" s="21"/>
      <c r="R37" s="21"/>
      <c r="S37" s="21"/>
      <c r="T37" s="13"/>
      <c r="U37" s="13"/>
      <c r="V37" s="22"/>
      <c r="W37" s="22" t="str">
        <f t="array" ref="W37">IF(A37="","",IFERROR(INDEX(PARAMETROS!$J$2:$J700,MATCH(H37,PARAMETROS!$E$2:$E700,0)),""))</f>
        <v/>
      </c>
      <c r="X37" s="23" t="str">
        <f t="shared" si="0"/>
        <v/>
      </c>
    </row>
    <row r="38" spans="1:24">
      <c r="A38" s="18"/>
      <c r="B38" s="18"/>
      <c r="C38" s="18"/>
      <c r="D38" s="18"/>
      <c r="E38" s="18"/>
      <c r="F38" s="18"/>
      <c r="G38" s="13"/>
      <c r="H38" s="18"/>
      <c r="I38" s="18"/>
      <c r="J38" s="19"/>
      <c r="K38" s="18"/>
      <c r="L38" s="19"/>
      <c r="M38" s="18"/>
      <c r="N38" s="18"/>
      <c r="O38" s="20"/>
      <c r="P38" s="13"/>
      <c r="Q38" s="21"/>
      <c r="R38" s="21"/>
      <c r="S38" s="21"/>
      <c r="T38" s="13"/>
      <c r="U38" s="13"/>
      <c r="V38" s="22"/>
      <c r="W38" s="22" t="str">
        <f t="array" ref="W38">IF(A38="","",IFERROR(INDEX(PARAMETROS!$J$2:$J700,MATCH(H38,PARAMETROS!$E$2:$E700,0)),""))</f>
        <v/>
      </c>
      <c r="X38" s="23" t="str">
        <f t="shared" si="0"/>
        <v/>
      </c>
    </row>
    <row r="39" spans="1:24">
      <c r="A39" s="18"/>
      <c r="B39" s="18"/>
      <c r="C39" s="18"/>
      <c r="D39" s="18"/>
      <c r="E39" s="18"/>
      <c r="F39" s="18"/>
      <c r="G39" s="13"/>
      <c r="H39" s="18"/>
      <c r="I39" s="18"/>
      <c r="J39" s="19"/>
      <c r="K39" s="18"/>
      <c r="L39" s="19"/>
      <c r="M39" s="18"/>
      <c r="N39" s="18"/>
      <c r="O39" s="20"/>
      <c r="P39" s="13"/>
      <c r="Q39" s="21"/>
      <c r="R39" s="21"/>
      <c r="S39" s="21"/>
      <c r="T39" s="13"/>
      <c r="U39" s="13"/>
      <c r="V39" s="22"/>
      <c r="W39" s="22" t="str">
        <f t="array" ref="W39">IF(A39="","",IFERROR(INDEX(PARAMETROS!$J$2:$J700,MATCH(H39,PARAMETROS!$E$2:$E700,0)),""))</f>
        <v/>
      </c>
      <c r="X39" s="23" t="str">
        <f t="shared" si="0"/>
        <v/>
      </c>
    </row>
    <row r="40" spans="1:24">
      <c r="A40" s="18"/>
      <c r="B40" s="18"/>
      <c r="C40" s="18"/>
      <c r="D40" s="18"/>
      <c r="E40" s="18"/>
      <c r="F40" s="18"/>
      <c r="G40" s="13"/>
      <c r="H40" s="18"/>
      <c r="I40" s="18"/>
      <c r="J40" s="19"/>
      <c r="K40" s="18"/>
      <c r="L40" s="19"/>
      <c r="M40" s="18"/>
      <c r="N40" s="18"/>
      <c r="O40" s="20"/>
      <c r="P40" s="13"/>
      <c r="Q40" s="21"/>
      <c r="R40" s="21"/>
      <c r="S40" s="21"/>
      <c r="T40" s="13"/>
      <c r="U40" s="13"/>
      <c r="V40" s="22"/>
      <c r="W40" s="22" t="str">
        <f t="array" ref="W40">IF(A40="","",IFERROR(INDEX(PARAMETROS!$J$2:$J700,MATCH(H40,PARAMETROS!$E$2:$E700,0)),""))</f>
        <v/>
      </c>
      <c r="X40" s="23" t="str">
        <f t="shared" si="0"/>
        <v/>
      </c>
    </row>
    <row r="41" spans="1:24">
      <c r="A41" s="18"/>
      <c r="B41" s="18"/>
      <c r="C41" s="18"/>
      <c r="D41" s="18"/>
      <c r="E41" s="18"/>
      <c r="F41" s="18"/>
      <c r="G41" s="13"/>
      <c r="H41" s="18"/>
      <c r="I41" s="18"/>
      <c r="J41" s="19"/>
      <c r="K41" s="18"/>
      <c r="L41" s="19"/>
      <c r="M41" s="18"/>
      <c r="N41" s="18"/>
      <c r="O41" s="20"/>
      <c r="P41" s="13"/>
      <c r="Q41" s="21"/>
      <c r="R41" s="21"/>
      <c r="S41" s="21"/>
      <c r="T41" s="13"/>
      <c r="U41" s="13"/>
      <c r="V41" s="22"/>
      <c r="W41" s="22" t="str">
        <f t="array" ref="W41">IF(A41="","",IFERROR(INDEX(PARAMETROS!$J$2:$J700,MATCH(H41,PARAMETROS!$E$2:$E700,0)),""))</f>
        <v/>
      </c>
      <c r="X41" s="23" t="str">
        <f t="shared" si="0"/>
        <v/>
      </c>
    </row>
    <row r="42" spans="1:24">
      <c r="A42" s="18"/>
      <c r="B42" s="18"/>
      <c r="C42" s="18"/>
      <c r="D42" s="18"/>
      <c r="E42" s="18"/>
      <c r="F42" s="18"/>
      <c r="G42" s="13"/>
      <c r="H42" s="18"/>
      <c r="I42" s="18"/>
      <c r="J42" s="19"/>
      <c r="K42" s="18"/>
      <c r="L42" s="19"/>
      <c r="M42" s="18"/>
      <c r="N42" s="18"/>
      <c r="O42" s="20"/>
      <c r="P42" s="13"/>
      <c r="Q42" s="21"/>
      <c r="R42" s="21"/>
      <c r="S42" s="21"/>
      <c r="T42" s="13"/>
      <c r="U42" s="13"/>
      <c r="V42" s="22"/>
      <c r="W42" s="22" t="str">
        <f t="array" ref="W42">IF(A42="","",IFERROR(INDEX(PARAMETROS!$J$2:$J700,MATCH(H42,PARAMETROS!$E$2:$E700,0)),""))</f>
        <v/>
      </c>
      <c r="X42" s="23" t="str">
        <f t="shared" si="0"/>
        <v/>
      </c>
    </row>
    <row r="43" spans="1:24">
      <c r="A43" s="18"/>
      <c r="B43" s="18"/>
      <c r="C43" s="18"/>
      <c r="D43" s="18"/>
      <c r="E43" s="18"/>
      <c r="F43" s="18"/>
      <c r="G43" s="13"/>
      <c r="H43" s="18"/>
      <c r="I43" s="18"/>
      <c r="J43" s="19"/>
      <c r="K43" s="18"/>
      <c r="L43" s="19"/>
      <c r="M43" s="18"/>
      <c r="N43" s="18"/>
      <c r="O43" s="20"/>
      <c r="P43" s="13"/>
      <c r="Q43" s="21"/>
      <c r="R43" s="21"/>
      <c r="S43" s="21"/>
      <c r="T43" s="13"/>
      <c r="U43" s="13"/>
      <c r="V43" s="22"/>
      <c r="W43" s="22" t="str">
        <f t="array" ref="W43">IF(A43="","",IFERROR(INDEX(PARAMETROS!$J$2:$J700,MATCH(H43,PARAMETROS!$E$2:$E700,0)),""))</f>
        <v/>
      </c>
      <c r="X43" s="23" t="str">
        <f t="shared" si="0"/>
        <v/>
      </c>
    </row>
    <row r="44" spans="1:24">
      <c r="A44" s="18"/>
      <c r="B44" s="18"/>
      <c r="C44" s="18"/>
      <c r="D44" s="18"/>
      <c r="E44" s="18"/>
      <c r="F44" s="18"/>
      <c r="G44" s="13"/>
      <c r="H44" s="18"/>
      <c r="I44" s="18"/>
      <c r="J44" s="19"/>
      <c r="K44" s="18"/>
      <c r="L44" s="19"/>
      <c r="M44" s="18"/>
      <c r="N44" s="18"/>
      <c r="O44" s="20"/>
      <c r="P44" s="13"/>
      <c r="Q44" s="21"/>
      <c r="R44" s="21"/>
      <c r="S44" s="21"/>
      <c r="T44" s="13"/>
      <c r="U44" s="13"/>
      <c r="V44" s="22"/>
      <c r="W44" s="22" t="str">
        <f t="array" ref="W44">IF(A44="","",IFERROR(INDEX(PARAMETROS!$J$2:$J700,MATCH(H44,PARAMETROS!$E$2:$E700,0)),""))</f>
        <v/>
      </c>
      <c r="X44" s="23" t="str">
        <f t="shared" si="0"/>
        <v/>
      </c>
    </row>
    <row r="45" spans="1:24">
      <c r="A45" s="18"/>
      <c r="B45" s="18"/>
      <c r="C45" s="18"/>
      <c r="D45" s="18"/>
      <c r="E45" s="18"/>
      <c r="F45" s="18"/>
      <c r="G45" s="13"/>
      <c r="H45" s="18"/>
      <c r="I45" s="18"/>
      <c r="J45" s="19"/>
      <c r="K45" s="18"/>
      <c r="L45" s="19"/>
      <c r="M45" s="18"/>
      <c r="N45" s="18"/>
      <c r="O45" s="20"/>
      <c r="P45" s="13"/>
      <c r="Q45" s="21"/>
      <c r="R45" s="21"/>
      <c r="S45" s="21"/>
      <c r="T45" s="13"/>
      <c r="U45" s="13"/>
      <c r="V45" s="22"/>
      <c r="W45" s="22" t="str">
        <f t="array" ref="W45">IF(A45="","",IFERROR(INDEX(PARAMETROS!$J$2:$J700,MATCH(H45,PARAMETROS!$E$2:$E700,0)),""))</f>
        <v/>
      </c>
      <c r="X45" s="23" t="str">
        <f t="shared" si="0"/>
        <v/>
      </c>
    </row>
    <row r="46" spans="1:24">
      <c r="A46" s="18"/>
      <c r="B46" s="18"/>
      <c r="C46" s="18"/>
      <c r="D46" s="18"/>
      <c r="E46" s="18"/>
      <c r="F46" s="18"/>
      <c r="G46" s="13"/>
      <c r="H46" s="18"/>
      <c r="I46" s="18"/>
      <c r="J46" s="19"/>
      <c r="K46" s="18"/>
      <c r="L46" s="19"/>
      <c r="M46" s="18"/>
      <c r="N46" s="18"/>
      <c r="O46" s="20"/>
      <c r="P46" s="13"/>
      <c r="Q46" s="21"/>
      <c r="R46" s="21"/>
      <c r="S46" s="21"/>
      <c r="T46" s="13"/>
      <c r="U46" s="13"/>
      <c r="V46" s="22"/>
      <c r="W46" s="22" t="str">
        <f t="array" ref="W46">IF(A46="","",IFERROR(INDEX(PARAMETROS!$J$2:$J700,MATCH(H46,PARAMETROS!$E$2:$E700,0)),""))</f>
        <v/>
      </c>
      <c r="X46" s="23" t="str">
        <f t="shared" si="0"/>
        <v/>
      </c>
    </row>
    <row r="47" spans="1:24">
      <c r="A47" s="18"/>
      <c r="B47" s="18"/>
      <c r="C47" s="18"/>
      <c r="D47" s="18"/>
      <c r="E47" s="18"/>
      <c r="F47" s="18"/>
      <c r="G47" s="13"/>
      <c r="H47" s="18"/>
      <c r="I47" s="18"/>
      <c r="J47" s="19"/>
      <c r="K47" s="18"/>
      <c r="L47" s="19"/>
      <c r="M47" s="18"/>
      <c r="N47" s="18"/>
      <c r="O47" s="20"/>
      <c r="P47" s="13"/>
      <c r="Q47" s="21"/>
      <c r="R47" s="21"/>
      <c r="S47" s="21"/>
      <c r="T47" s="13"/>
      <c r="U47" s="13"/>
      <c r="V47" s="22"/>
      <c r="W47" s="22" t="str">
        <f t="array" ref="W47">IF(A47="","",IFERROR(INDEX(PARAMETROS!$J$2:$J700,MATCH(H47,PARAMETROS!$E$2:$E700,0)),""))</f>
        <v/>
      </c>
      <c r="X47" s="23" t="str">
        <f t="shared" si="0"/>
        <v/>
      </c>
    </row>
    <row r="48" spans="1:24">
      <c r="A48" s="18"/>
      <c r="B48" s="18"/>
      <c r="C48" s="18"/>
      <c r="D48" s="18"/>
      <c r="E48" s="18"/>
      <c r="F48" s="18"/>
      <c r="G48" s="13"/>
      <c r="H48" s="18"/>
      <c r="I48" s="18"/>
      <c r="J48" s="19"/>
      <c r="K48" s="18"/>
      <c r="L48" s="19"/>
      <c r="M48" s="18"/>
      <c r="N48" s="18"/>
      <c r="O48" s="20"/>
      <c r="P48" s="13"/>
      <c r="Q48" s="21"/>
      <c r="R48" s="21"/>
      <c r="S48" s="21"/>
      <c r="T48" s="13"/>
      <c r="U48" s="13"/>
      <c r="V48" s="22"/>
      <c r="W48" s="22" t="str">
        <f t="array" ref="W48">IF(A48="","",IFERROR(INDEX(PARAMETROS!$J$2:$J700,MATCH(H48,PARAMETROS!$E$2:$E700,0)),""))</f>
        <v/>
      </c>
      <c r="X48" s="23" t="str">
        <f t="shared" si="0"/>
        <v/>
      </c>
    </row>
    <row r="49" spans="1:24">
      <c r="A49" s="18"/>
      <c r="B49" s="18"/>
      <c r="C49" s="18"/>
      <c r="D49" s="18"/>
      <c r="E49" s="18"/>
      <c r="F49" s="18"/>
      <c r="G49" s="13"/>
      <c r="H49" s="18"/>
      <c r="I49" s="18"/>
      <c r="J49" s="19"/>
      <c r="K49" s="18"/>
      <c r="L49" s="19"/>
      <c r="M49" s="18"/>
      <c r="N49" s="18"/>
      <c r="O49" s="20"/>
      <c r="P49" s="13"/>
      <c r="Q49" s="21"/>
      <c r="R49" s="21"/>
      <c r="S49" s="21"/>
      <c r="T49" s="13"/>
      <c r="U49" s="13"/>
      <c r="V49" s="22"/>
      <c r="W49" s="22" t="str">
        <f t="array" ref="W49">IF(A49="","",IFERROR(INDEX(PARAMETROS!$J$2:$J700,MATCH(H49,PARAMETROS!$E$2:$E700,0)),""))</f>
        <v/>
      </c>
      <c r="X49" s="23" t="str">
        <f t="shared" si="0"/>
        <v/>
      </c>
    </row>
    <row r="50" spans="1:24">
      <c r="A50" s="18"/>
      <c r="B50" s="18"/>
      <c r="C50" s="18"/>
      <c r="D50" s="18"/>
      <c r="E50" s="18"/>
      <c r="F50" s="18"/>
      <c r="G50" s="13"/>
      <c r="H50" s="18"/>
      <c r="I50" s="18"/>
      <c r="J50" s="19"/>
      <c r="K50" s="18"/>
      <c r="L50" s="19"/>
      <c r="M50" s="18"/>
      <c r="N50" s="18"/>
      <c r="O50" s="20"/>
      <c r="P50" s="13"/>
      <c r="Q50" s="21"/>
      <c r="R50" s="21"/>
      <c r="S50" s="21"/>
      <c r="T50" s="13"/>
      <c r="U50" s="13"/>
      <c r="V50" s="22"/>
      <c r="W50" s="22" t="str">
        <f t="array" ref="W50">IF(A50="","",IFERROR(INDEX(PARAMETROS!$J$2:$J700,MATCH(H50,PARAMETROS!$E$2:$E700,0)),""))</f>
        <v/>
      </c>
      <c r="X50" s="23" t="str">
        <f t="shared" si="0"/>
        <v/>
      </c>
    </row>
    <row r="51" spans="1:24">
      <c r="A51" s="18"/>
      <c r="B51" s="18"/>
      <c r="C51" s="18"/>
      <c r="D51" s="18"/>
      <c r="E51" s="18"/>
      <c r="F51" s="18"/>
      <c r="G51" s="13"/>
      <c r="H51" s="18"/>
      <c r="I51" s="18"/>
      <c r="J51" s="19"/>
      <c r="K51" s="18"/>
      <c r="L51" s="19"/>
      <c r="M51" s="18"/>
      <c r="N51" s="18"/>
      <c r="O51" s="20"/>
      <c r="P51" s="13"/>
      <c r="Q51" s="21"/>
      <c r="R51" s="21"/>
      <c r="S51" s="21"/>
      <c r="T51" s="13"/>
      <c r="U51" s="13"/>
      <c r="V51" s="22"/>
      <c r="W51" s="22" t="str">
        <f t="array" ref="W51">IF(A51="","",IFERROR(INDEX(PARAMETROS!$J$2:$J700,MATCH(H51,PARAMETROS!$E$2:$E700,0)),""))</f>
        <v/>
      </c>
      <c r="X51" s="23" t="str">
        <f t="shared" si="0"/>
        <v/>
      </c>
    </row>
    <row r="52" spans="1:24">
      <c r="A52" s="18"/>
      <c r="B52" s="18"/>
      <c r="C52" s="18"/>
      <c r="D52" s="18"/>
      <c r="E52" s="18"/>
      <c r="F52" s="18"/>
      <c r="G52" s="13"/>
      <c r="H52" s="18"/>
      <c r="I52" s="18"/>
      <c r="J52" s="19"/>
      <c r="K52" s="18"/>
      <c r="L52" s="19"/>
      <c r="M52" s="18"/>
      <c r="N52" s="18"/>
      <c r="O52" s="20"/>
      <c r="P52" s="13"/>
      <c r="Q52" s="21"/>
      <c r="R52" s="21"/>
      <c r="S52" s="21"/>
      <c r="T52" s="13"/>
      <c r="U52" s="13"/>
      <c r="V52" s="22"/>
      <c r="W52" s="22" t="str">
        <f t="array" ref="W52">IF(A52="","",IFERROR(INDEX(PARAMETROS!$J$2:$J700,MATCH(H52,PARAMETROS!$E$2:$E700,0)),""))</f>
        <v/>
      </c>
      <c r="X52" s="23" t="str">
        <f t="shared" si="0"/>
        <v/>
      </c>
    </row>
    <row r="53" spans="1:24">
      <c r="A53" s="18"/>
      <c r="B53" s="18"/>
      <c r="C53" s="18"/>
      <c r="D53" s="18"/>
      <c r="E53" s="18"/>
      <c r="F53" s="18"/>
      <c r="G53" s="13"/>
      <c r="H53" s="18"/>
      <c r="I53" s="18"/>
      <c r="J53" s="19"/>
      <c r="K53" s="18"/>
      <c r="L53" s="19"/>
      <c r="M53" s="18"/>
      <c r="N53" s="18"/>
      <c r="O53" s="20"/>
      <c r="P53" s="13"/>
      <c r="Q53" s="21"/>
      <c r="R53" s="21"/>
      <c r="S53" s="21"/>
      <c r="T53" s="13"/>
      <c r="U53" s="13"/>
      <c r="V53" s="22"/>
      <c r="W53" s="22" t="str">
        <f t="array" ref="W53">IF(A53="","",IFERROR(INDEX(PARAMETROS!$J$2:$J700,MATCH(H53,PARAMETROS!$E$2:$E700,0)),""))</f>
        <v/>
      </c>
      <c r="X53" s="23" t="str">
        <f t="shared" si="0"/>
        <v/>
      </c>
    </row>
    <row r="54" spans="1:24">
      <c r="A54" s="18"/>
      <c r="B54" s="18"/>
      <c r="C54" s="18"/>
      <c r="D54" s="18"/>
      <c r="E54" s="18"/>
      <c r="F54" s="18"/>
      <c r="G54" s="13"/>
      <c r="H54" s="18"/>
      <c r="I54" s="18"/>
      <c r="J54" s="19"/>
      <c r="K54" s="18"/>
      <c r="L54" s="19"/>
      <c r="M54" s="18"/>
      <c r="N54" s="18"/>
      <c r="O54" s="20"/>
      <c r="P54" s="13"/>
      <c r="Q54" s="21"/>
      <c r="R54" s="21"/>
      <c r="S54" s="21"/>
      <c r="T54" s="13"/>
      <c r="U54" s="13"/>
      <c r="V54" s="22"/>
      <c r="W54" s="22" t="str">
        <f t="array" ref="W54">IF(A54="","",IFERROR(INDEX(PARAMETROS!$J$2:$J700,MATCH(H54,PARAMETROS!$E$2:$E700,0)),""))</f>
        <v/>
      </c>
      <c r="X54" s="23" t="str">
        <f t="shared" si="0"/>
        <v/>
      </c>
    </row>
    <row r="55" spans="1:24">
      <c r="A55" s="18"/>
      <c r="B55" s="18"/>
      <c r="C55" s="18"/>
      <c r="D55" s="18"/>
      <c r="E55" s="18"/>
      <c r="F55" s="18"/>
      <c r="G55" s="13"/>
      <c r="H55" s="18"/>
      <c r="I55" s="18"/>
      <c r="J55" s="19"/>
      <c r="K55" s="18"/>
      <c r="L55" s="19"/>
      <c r="M55" s="18"/>
      <c r="N55" s="18"/>
      <c r="O55" s="20"/>
      <c r="P55" s="13"/>
      <c r="Q55" s="21"/>
      <c r="R55" s="21"/>
      <c r="S55" s="21"/>
      <c r="T55" s="13"/>
      <c r="U55" s="13"/>
      <c r="V55" s="22"/>
      <c r="W55" s="22" t="str">
        <f t="array" ref="W55">IF(A55="","",IFERROR(INDEX(PARAMETROS!$J$2:$J700,MATCH(H55,PARAMETROS!$E$2:$E700,0)),""))</f>
        <v/>
      </c>
      <c r="X55" s="23" t="str">
        <f t="shared" si="0"/>
        <v/>
      </c>
    </row>
    <row r="56" spans="1:24">
      <c r="A56" s="18"/>
      <c r="B56" s="18"/>
      <c r="C56" s="18"/>
      <c r="D56" s="18"/>
      <c r="E56" s="18"/>
      <c r="F56" s="18"/>
      <c r="G56" s="13"/>
      <c r="H56" s="18"/>
      <c r="I56" s="18"/>
      <c r="J56" s="19"/>
      <c r="K56" s="18"/>
      <c r="L56" s="19"/>
      <c r="M56" s="18"/>
      <c r="N56" s="18"/>
      <c r="O56" s="20"/>
      <c r="P56" s="13"/>
      <c r="Q56" s="21"/>
      <c r="R56" s="21"/>
      <c r="S56" s="21"/>
      <c r="T56" s="13"/>
      <c r="U56" s="13"/>
      <c r="V56" s="22"/>
      <c r="W56" s="22" t="str">
        <f t="array" ref="W56">IF(A56="","",IFERROR(INDEX(PARAMETROS!$J$2:$J700,MATCH(H56,PARAMETROS!$E$2:$E700,0)),""))</f>
        <v/>
      </c>
      <c r="X56" s="23" t="str">
        <f t="shared" si="0"/>
        <v/>
      </c>
    </row>
    <row r="57" spans="1:24">
      <c r="A57" s="18"/>
      <c r="B57" s="18"/>
      <c r="C57" s="18"/>
      <c r="D57" s="18"/>
      <c r="E57" s="18"/>
      <c r="F57" s="18"/>
      <c r="G57" s="13"/>
      <c r="H57" s="18"/>
      <c r="I57" s="18"/>
      <c r="J57" s="19"/>
      <c r="K57" s="18"/>
      <c r="L57" s="19"/>
      <c r="M57" s="18"/>
      <c r="N57" s="18"/>
      <c r="O57" s="20"/>
      <c r="P57" s="13"/>
      <c r="Q57" s="21"/>
      <c r="R57" s="21"/>
      <c r="S57" s="21"/>
      <c r="T57" s="13"/>
      <c r="U57" s="13"/>
      <c r="V57" s="22"/>
      <c r="W57" s="22" t="str">
        <f t="array" ref="W57">IF(A57="","",IFERROR(INDEX(PARAMETROS!$J$2:$J700,MATCH(H57,PARAMETROS!$E$2:$E700,0)),""))</f>
        <v/>
      </c>
      <c r="X57" s="23" t="str">
        <f t="shared" si="0"/>
        <v/>
      </c>
    </row>
    <row r="58" spans="1:24">
      <c r="A58" s="18"/>
      <c r="B58" s="18"/>
      <c r="C58" s="18"/>
      <c r="D58" s="18"/>
      <c r="E58" s="18"/>
      <c r="F58" s="18"/>
      <c r="G58" s="13"/>
      <c r="H58" s="18"/>
      <c r="I58" s="18"/>
      <c r="J58" s="19"/>
      <c r="K58" s="18"/>
      <c r="L58" s="19"/>
      <c r="M58" s="18"/>
      <c r="N58" s="18"/>
      <c r="O58" s="20"/>
      <c r="P58" s="13"/>
      <c r="Q58" s="21"/>
      <c r="R58" s="21"/>
      <c r="S58" s="21"/>
      <c r="T58" s="13"/>
      <c r="U58" s="13"/>
      <c r="V58" s="22"/>
      <c r="W58" s="22" t="str">
        <f t="array" ref="W58">IF(A58="","",IFERROR(INDEX(PARAMETROS!$J$2:$J700,MATCH(H58,PARAMETROS!$E$2:$E700,0)),""))</f>
        <v/>
      </c>
      <c r="X58" s="23" t="str">
        <f t="shared" si="0"/>
        <v/>
      </c>
    </row>
    <row r="59" spans="1:24">
      <c r="A59" s="18"/>
      <c r="B59" s="18"/>
      <c r="C59" s="18"/>
      <c r="D59" s="18"/>
      <c r="E59" s="18"/>
      <c r="F59" s="18"/>
      <c r="G59" s="13"/>
      <c r="H59" s="18"/>
      <c r="I59" s="18"/>
      <c r="J59" s="19"/>
      <c r="K59" s="18"/>
      <c r="L59" s="19"/>
      <c r="M59" s="18"/>
      <c r="N59" s="18"/>
      <c r="O59" s="20"/>
      <c r="P59" s="13"/>
      <c r="Q59" s="21"/>
      <c r="R59" s="21"/>
      <c r="S59" s="21"/>
      <c r="T59" s="13"/>
      <c r="U59" s="13"/>
      <c r="V59" s="22"/>
      <c r="W59" s="22" t="str">
        <f t="array" ref="W59">IF(A59="","",IFERROR(INDEX(PARAMETROS!$J$2:$J700,MATCH(H59,PARAMETROS!$E$2:$E700,0)),""))</f>
        <v/>
      </c>
      <c r="X59" s="23" t="str">
        <f t="shared" si="0"/>
        <v/>
      </c>
    </row>
    <row r="60" spans="1:24">
      <c r="A60" s="18"/>
      <c r="B60" s="18"/>
      <c r="C60" s="18"/>
      <c r="D60" s="18"/>
      <c r="E60" s="18"/>
      <c r="F60" s="18"/>
      <c r="G60" s="13"/>
      <c r="H60" s="18"/>
      <c r="I60" s="18"/>
      <c r="J60" s="19"/>
      <c r="K60" s="18"/>
      <c r="L60" s="19"/>
      <c r="M60" s="18"/>
      <c r="N60" s="18"/>
      <c r="O60" s="20"/>
      <c r="P60" s="13"/>
      <c r="Q60" s="21"/>
      <c r="R60" s="21"/>
      <c r="S60" s="21"/>
      <c r="T60" s="13"/>
      <c r="U60" s="13"/>
      <c r="V60" s="22"/>
      <c r="W60" s="22" t="str">
        <f t="array" ref="W60">IF(A60="","",IFERROR(INDEX(PARAMETROS!$J$2:$J700,MATCH(H60,PARAMETROS!$E$2:$E700,0)),""))</f>
        <v/>
      </c>
      <c r="X60" s="23" t="str">
        <f t="shared" si="0"/>
        <v/>
      </c>
    </row>
    <row r="61" spans="1:24">
      <c r="A61" s="18"/>
      <c r="B61" s="18"/>
      <c r="C61" s="18"/>
      <c r="D61" s="18"/>
      <c r="E61" s="18"/>
      <c r="F61" s="18"/>
      <c r="G61" s="13"/>
      <c r="H61" s="18"/>
      <c r="I61" s="18"/>
      <c r="J61" s="19"/>
      <c r="K61" s="18"/>
      <c r="L61" s="19"/>
      <c r="M61" s="18"/>
      <c r="N61" s="18"/>
      <c r="O61" s="20"/>
      <c r="P61" s="13"/>
      <c r="Q61" s="21"/>
      <c r="R61" s="21"/>
      <c r="S61" s="21"/>
      <c r="T61" s="13"/>
      <c r="U61" s="13"/>
      <c r="V61" s="22"/>
      <c r="W61" s="22" t="str">
        <f t="array" ref="W61">IF(A61="","",IFERROR(INDEX(PARAMETROS!$J$2:$J700,MATCH(H61,PARAMETROS!$E$2:$E700,0)),""))</f>
        <v/>
      </c>
      <c r="X61" s="23" t="str">
        <f t="shared" si="0"/>
        <v/>
      </c>
    </row>
    <row r="62" spans="1:24">
      <c r="A62" s="18"/>
      <c r="B62" s="18"/>
      <c r="C62" s="18"/>
      <c r="D62" s="18"/>
      <c r="E62" s="18"/>
      <c r="F62" s="18"/>
      <c r="G62" s="13"/>
      <c r="H62" s="18"/>
      <c r="I62" s="18"/>
      <c r="J62" s="19"/>
      <c r="K62" s="18"/>
      <c r="L62" s="19"/>
      <c r="M62" s="18"/>
      <c r="N62" s="18"/>
      <c r="O62" s="20"/>
      <c r="P62" s="13"/>
      <c r="Q62" s="21"/>
      <c r="R62" s="21"/>
      <c r="S62" s="21"/>
      <c r="T62" s="13"/>
      <c r="U62" s="13"/>
      <c r="V62" s="22"/>
      <c r="W62" s="22" t="str">
        <f t="array" ref="W62">IF(A62="","",IFERROR(INDEX(PARAMETROS!$J$2:$J700,MATCH(H62,PARAMETROS!$E$2:$E700,0)),""))</f>
        <v/>
      </c>
      <c r="X62" s="23" t="str">
        <f t="shared" si="0"/>
        <v/>
      </c>
    </row>
    <row r="63" spans="1:24">
      <c r="A63" s="18"/>
      <c r="B63" s="18"/>
      <c r="C63" s="18"/>
      <c r="D63" s="18"/>
      <c r="E63" s="18"/>
      <c r="F63" s="18"/>
      <c r="G63" s="13"/>
      <c r="H63" s="18"/>
      <c r="I63" s="18"/>
      <c r="J63" s="19"/>
      <c r="K63" s="18"/>
      <c r="L63" s="19"/>
      <c r="M63" s="18"/>
      <c r="N63" s="18"/>
      <c r="O63" s="20"/>
      <c r="P63" s="13"/>
      <c r="Q63" s="21"/>
      <c r="R63" s="21"/>
      <c r="S63" s="21"/>
      <c r="T63" s="13"/>
      <c r="U63" s="13"/>
      <c r="V63" s="22"/>
      <c r="W63" s="22" t="str">
        <f t="array" ref="W63">IF(A63="","",IFERROR(INDEX(PARAMETROS!$J$2:$J700,MATCH(H63,PARAMETROS!$E$2:$E700,0)),""))</f>
        <v/>
      </c>
      <c r="X63" s="23" t="str">
        <f t="shared" si="0"/>
        <v/>
      </c>
    </row>
    <row r="64" spans="1:24">
      <c r="A64" s="18"/>
      <c r="B64" s="18"/>
      <c r="C64" s="18"/>
      <c r="D64" s="18"/>
      <c r="E64" s="18"/>
      <c r="F64" s="18"/>
      <c r="G64" s="13"/>
      <c r="H64" s="18"/>
      <c r="I64" s="18"/>
      <c r="J64" s="19"/>
      <c r="K64" s="18"/>
      <c r="L64" s="19"/>
      <c r="M64" s="18"/>
      <c r="N64" s="18"/>
      <c r="O64" s="20"/>
      <c r="P64" s="13"/>
      <c r="Q64" s="21"/>
      <c r="R64" s="21"/>
      <c r="S64" s="21"/>
      <c r="T64" s="13"/>
      <c r="U64" s="13"/>
      <c r="V64" s="22"/>
      <c r="W64" s="22" t="str">
        <f t="array" ref="W64">IF(A64="","",IFERROR(INDEX(PARAMETROS!$J$2:$J700,MATCH(H64,PARAMETROS!$E$2:$E700,0)),""))</f>
        <v/>
      </c>
      <c r="X64" s="23" t="str">
        <f t="shared" si="0"/>
        <v/>
      </c>
    </row>
    <row r="65" spans="1:24">
      <c r="A65" s="18"/>
      <c r="B65" s="18"/>
      <c r="C65" s="18"/>
      <c r="D65" s="18"/>
      <c r="E65" s="18"/>
      <c r="F65" s="18"/>
      <c r="G65" s="13"/>
      <c r="H65" s="18"/>
      <c r="I65" s="18"/>
      <c r="J65" s="19"/>
      <c r="K65" s="18"/>
      <c r="L65" s="19"/>
      <c r="M65" s="18"/>
      <c r="N65" s="18"/>
      <c r="O65" s="20"/>
      <c r="P65" s="13"/>
      <c r="Q65" s="21"/>
      <c r="R65" s="21"/>
      <c r="S65" s="21"/>
      <c r="T65" s="13"/>
      <c r="U65" s="13"/>
      <c r="V65" s="22"/>
      <c r="W65" s="22" t="str">
        <f t="array" ref="W65">IF(A65="","",IFERROR(INDEX(PARAMETROS!$J$2:$J700,MATCH(H65,PARAMETROS!$E$2:$E700,0)),""))</f>
        <v/>
      </c>
      <c r="X65" s="23" t="str">
        <f t="shared" si="0"/>
        <v/>
      </c>
    </row>
    <row r="66" spans="1:24">
      <c r="A66" s="18"/>
      <c r="B66" s="18"/>
      <c r="C66" s="18"/>
      <c r="D66" s="18"/>
      <c r="E66" s="18"/>
      <c r="F66" s="18"/>
      <c r="G66" s="13"/>
      <c r="H66" s="18"/>
      <c r="I66" s="18"/>
      <c r="J66" s="19"/>
      <c r="K66" s="18"/>
      <c r="L66" s="19"/>
      <c r="M66" s="18"/>
      <c r="N66" s="18"/>
      <c r="O66" s="20"/>
      <c r="P66" s="13"/>
      <c r="Q66" s="21"/>
      <c r="R66" s="21"/>
      <c r="S66" s="21"/>
      <c r="T66" s="13"/>
      <c r="U66" s="13"/>
      <c r="V66" s="22"/>
      <c r="W66" s="22" t="str">
        <f t="array" ref="W66">IF(A66="","",IFERROR(INDEX(PARAMETROS!$J$2:$J700,MATCH(H66,PARAMETROS!$E$2:$E700,0)),""))</f>
        <v/>
      </c>
      <c r="X66" s="23" t="str">
        <f t="shared" si="0"/>
        <v/>
      </c>
    </row>
    <row r="67" spans="1:24">
      <c r="A67" s="18"/>
      <c r="B67" s="18"/>
      <c r="C67" s="18"/>
      <c r="D67" s="18"/>
      <c r="E67" s="18"/>
      <c r="F67" s="18"/>
      <c r="G67" s="13"/>
      <c r="H67" s="18"/>
      <c r="I67" s="18"/>
      <c r="J67" s="19"/>
      <c r="K67" s="18"/>
      <c r="L67" s="19"/>
      <c r="M67" s="18"/>
      <c r="N67" s="18"/>
      <c r="O67" s="20"/>
      <c r="P67" s="13"/>
      <c r="Q67" s="21"/>
      <c r="R67" s="21"/>
      <c r="S67" s="21"/>
      <c r="T67" s="13"/>
      <c r="U67" s="13"/>
      <c r="V67" s="22"/>
      <c r="W67" s="22" t="str">
        <f t="array" ref="W67">IF(A67="","",IFERROR(INDEX(PARAMETROS!$J$2:$J700,MATCH(H67,PARAMETROS!$E$2:$E700,0)),""))</f>
        <v/>
      </c>
      <c r="X67" s="23" t="str">
        <f t="shared" si="0"/>
        <v/>
      </c>
    </row>
    <row r="68" spans="1:24">
      <c r="A68" s="18"/>
      <c r="B68" s="18"/>
      <c r="C68" s="18"/>
      <c r="D68" s="18"/>
      <c r="E68" s="18"/>
      <c r="F68" s="18"/>
      <c r="G68" s="13"/>
      <c r="H68" s="18"/>
      <c r="I68" s="18"/>
      <c r="J68" s="19"/>
      <c r="K68" s="18"/>
      <c r="L68" s="19"/>
      <c r="M68" s="18"/>
      <c r="N68" s="18"/>
      <c r="O68" s="20"/>
      <c r="P68" s="13"/>
      <c r="Q68" s="21"/>
      <c r="R68" s="21"/>
      <c r="S68" s="21"/>
      <c r="T68" s="13"/>
      <c r="U68" s="13"/>
      <c r="V68" s="22"/>
      <c r="W68" s="22" t="str">
        <f t="array" ref="W68">IF(A68="","",IFERROR(INDEX(PARAMETROS!$J$2:$J700,MATCH(H68,PARAMETROS!$E$2:$E700,0)),""))</f>
        <v/>
      </c>
      <c r="X68" s="23" t="str">
        <f t="shared" si="0"/>
        <v/>
      </c>
    </row>
    <row r="69" spans="1:24">
      <c r="A69" s="18"/>
      <c r="B69" s="18"/>
      <c r="C69" s="18"/>
      <c r="D69" s="18"/>
      <c r="E69" s="18"/>
      <c r="F69" s="18"/>
      <c r="G69" s="13"/>
      <c r="H69" s="18"/>
      <c r="I69" s="18"/>
      <c r="J69" s="19"/>
      <c r="K69" s="18"/>
      <c r="L69" s="19"/>
      <c r="M69" s="18"/>
      <c r="N69" s="18"/>
      <c r="O69" s="20"/>
      <c r="P69" s="13"/>
      <c r="Q69" s="21"/>
      <c r="R69" s="21"/>
      <c r="S69" s="21"/>
      <c r="T69" s="13"/>
      <c r="U69" s="13"/>
      <c r="V69" s="22"/>
      <c r="W69" s="22" t="str">
        <f t="array" ref="W69">IF(A69="","",IFERROR(INDEX(PARAMETROS!$J$2:$J700,MATCH(H69,PARAMETROS!$E$2:$E700,0)),""))</f>
        <v/>
      </c>
      <c r="X69" s="23" t="str">
        <f t="shared" si="0"/>
        <v/>
      </c>
    </row>
    <row r="70" spans="1:24">
      <c r="A70" s="18"/>
      <c r="B70" s="18"/>
      <c r="C70" s="18"/>
      <c r="D70" s="18"/>
      <c r="E70" s="18"/>
      <c r="F70" s="18"/>
      <c r="G70" s="13"/>
      <c r="H70" s="18"/>
      <c r="I70" s="18"/>
      <c r="J70" s="19"/>
      <c r="K70" s="18"/>
      <c r="L70" s="19"/>
      <c r="M70" s="18"/>
      <c r="N70" s="18"/>
      <c r="O70" s="20"/>
      <c r="P70" s="13"/>
      <c r="Q70" s="21"/>
      <c r="R70" s="21"/>
      <c r="S70" s="21"/>
      <c r="T70" s="13"/>
      <c r="U70" s="13"/>
      <c r="V70" s="22"/>
      <c r="W70" s="22" t="str">
        <f t="array" ref="W70">IF(A70="","",IFERROR(INDEX(PARAMETROS!$J$2:$J700,MATCH(H70,PARAMETROS!$E$2:$E700,0)),""))</f>
        <v/>
      </c>
      <c r="X70" s="23" t="str">
        <f t="shared" si="0"/>
        <v/>
      </c>
    </row>
    <row r="71" spans="1:24">
      <c r="A71" s="18"/>
      <c r="B71" s="18"/>
      <c r="C71" s="18"/>
      <c r="D71" s="18"/>
      <c r="E71" s="18"/>
      <c r="F71" s="18"/>
      <c r="G71" s="13"/>
      <c r="H71" s="18"/>
      <c r="I71" s="18"/>
      <c r="J71" s="19"/>
      <c r="K71" s="18"/>
      <c r="L71" s="19"/>
      <c r="M71" s="18"/>
      <c r="N71" s="18"/>
      <c r="O71" s="20"/>
      <c r="P71" s="13"/>
      <c r="Q71" s="21"/>
      <c r="R71" s="21"/>
      <c r="S71" s="21"/>
      <c r="T71" s="13"/>
      <c r="U71" s="13"/>
      <c r="V71" s="22"/>
      <c r="W71" s="22" t="str">
        <f t="array" ref="W71">IF(A71="","",IFERROR(INDEX(PARAMETROS!$J$2:$J700,MATCH(H71,PARAMETROS!$E$2:$E700,0)),""))</f>
        <v/>
      </c>
      <c r="X71" s="23" t="str">
        <f t="shared" si="0"/>
        <v/>
      </c>
    </row>
    <row r="72" spans="1:24">
      <c r="A72" s="18"/>
      <c r="B72" s="18"/>
      <c r="C72" s="18"/>
      <c r="D72" s="18"/>
      <c r="E72" s="18"/>
      <c r="F72" s="18"/>
      <c r="G72" s="13"/>
      <c r="H72" s="18"/>
      <c r="I72" s="18"/>
      <c r="J72" s="19"/>
      <c r="K72" s="18"/>
      <c r="L72" s="19"/>
      <c r="M72" s="18"/>
      <c r="N72" s="18"/>
      <c r="O72" s="20"/>
      <c r="P72" s="13"/>
      <c r="Q72" s="21"/>
      <c r="R72" s="21"/>
      <c r="S72" s="21"/>
      <c r="T72" s="13"/>
      <c r="U72" s="13"/>
      <c r="V72" s="22"/>
      <c r="W72" s="22" t="str">
        <f t="array" ref="W72">IF(A72="","",IFERROR(INDEX(PARAMETROS!$J$2:$J700,MATCH(H72,PARAMETROS!$E$2:$E700,0)),""))</f>
        <v/>
      </c>
      <c r="X72" s="23" t="str">
        <f t="shared" si="0"/>
        <v/>
      </c>
    </row>
    <row r="73" spans="1:24">
      <c r="A73" s="18"/>
      <c r="B73" s="18"/>
      <c r="C73" s="18"/>
      <c r="D73" s="18"/>
      <c r="E73" s="18"/>
      <c r="F73" s="18"/>
      <c r="G73" s="13"/>
      <c r="H73" s="18"/>
      <c r="I73" s="18"/>
      <c r="J73" s="19"/>
      <c r="K73" s="18"/>
      <c r="L73" s="19"/>
      <c r="M73" s="18"/>
      <c r="N73" s="18"/>
      <c r="O73" s="20"/>
      <c r="P73" s="13"/>
      <c r="Q73" s="21"/>
      <c r="R73" s="21"/>
      <c r="S73" s="21"/>
      <c r="T73" s="13"/>
      <c r="U73" s="13"/>
      <c r="V73" s="22"/>
      <c r="W73" s="22" t="str">
        <f t="array" ref="W73">IF(A73="","",IFERROR(INDEX(PARAMETROS!$J$2:$J700,MATCH(H73,PARAMETROS!$E$2:$E700,0)),""))</f>
        <v/>
      </c>
      <c r="X73" s="23" t="str">
        <f t="shared" si="0"/>
        <v/>
      </c>
    </row>
    <row r="74" spans="1:24">
      <c r="A74" s="18"/>
      <c r="B74" s="18"/>
      <c r="C74" s="18"/>
      <c r="D74" s="18"/>
      <c r="E74" s="18"/>
      <c r="F74" s="18"/>
      <c r="G74" s="13"/>
      <c r="H74" s="18"/>
      <c r="I74" s="18"/>
      <c r="J74" s="19"/>
      <c r="K74" s="18"/>
      <c r="L74" s="19"/>
      <c r="M74" s="18"/>
      <c r="N74" s="18"/>
      <c r="O74" s="20"/>
      <c r="P74" s="13"/>
      <c r="Q74" s="21"/>
      <c r="R74" s="21"/>
      <c r="S74" s="21"/>
      <c r="T74" s="13"/>
      <c r="U74" s="13"/>
      <c r="V74" s="22"/>
      <c r="W74" s="22" t="str">
        <f t="array" ref="W74">IF(A74="","",IFERROR(INDEX(PARAMETROS!$J$2:$J700,MATCH(H74,PARAMETROS!$E$2:$E700,0)),""))</f>
        <v/>
      </c>
      <c r="X74" s="23" t="str">
        <f t="shared" si="0"/>
        <v/>
      </c>
    </row>
    <row r="75" spans="1:24">
      <c r="A75" s="18"/>
      <c r="B75" s="18"/>
      <c r="C75" s="18"/>
      <c r="D75" s="18"/>
      <c r="E75" s="18"/>
      <c r="F75" s="18"/>
      <c r="G75" s="13"/>
      <c r="H75" s="18"/>
      <c r="I75" s="18"/>
      <c r="J75" s="19"/>
      <c r="K75" s="18"/>
      <c r="L75" s="19"/>
      <c r="M75" s="18"/>
      <c r="N75" s="18"/>
      <c r="O75" s="20"/>
      <c r="P75" s="13"/>
      <c r="Q75" s="21"/>
      <c r="R75" s="21"/>
      <c r="S75" s="21"/>
      <c r="T75" s="13"/>
      <c r="U75" s="13"/>
      <c r="V75" s="22"/>
      <c r="W75" s="22" t="str">
        <f t="array" ref="W75">IF(A75="","",IFERROR(INDEX(PARAMETROS!$J$2:$J700,MATCH(H75,PARAMETROS!$E$2:$E700,0)),""))</f>
        <v/>
      </c>
      <c r="X75" s="23" t="str">
        <f t="shared" si="0"/>
        <v/>
      </c>
    </row>
    <row r="76" spans="1:24">
      <c r="A76" s="18"/>
      <c r="B76" s="18"/>
      <c r="C76" s="18"/>
      <c r="D76" s="18"/>
      <c r="E76" s="18"/>
      <c r="F76" s="18"/>
      <c r="G76" s="13"/>
      <c r="H76" s="18"/>
      <c r="I76" s="18"/>
      <c r="J76" s="19"/>
      <c r="K76" s="18"/>
      <c r="L76" s="19"/>
      <c r="M76" s="18"/>
      <c r="N76" s="18"/>
      <c r="O76" s="20"/>
      <c r="P76" s="13"/>
      <c r="Q76" s="21"/>
      <c r="R76" s="21"/>
      <c r="S76" s="21"/>
      <c r="T76" s="13"/>
      <c r="U76" s="13"/>
      <c r="V76" s="22"/>
      <c r="W76" s="22" t="str">
        <f t="array" ref="W76">IF(A76="","",IFERROR(INDEX(PARAMETROS!$J$2:$J700,MATCH(H76,PARAMETROS!$E$2:$E700,0)),""))</f>
        <v/>
      </c>
      <c r="X76" s="23" t="str">
        <f t="shared" si="0"/>
        <v/>
      </c>
    </row>
    <row r="77" spans="1:24">
      <c r="A77" s="18"/>
      <c r="B77" s="18"/>
      <c r="C77" s="18"/>
      <c r="D77" s="18"/>
      <c r="E77" s="18"/>
      <c r="F77" s="18"/>
      <c r="G77" s="13"/>
      <c r="H77" s="18"/>
      <c r="I77" s="18"/>
      <c r="J77" s="19"/>
      <c r="K77" s="18"/>
      <c r="L77" s="19"/>
      <c r="M77" s="18"/>
      <c r="N77" s="18"/>
      <c r="O77" s="20"/>
      <c r="P77" s="13"/>
      <c r="Q77" s="21"/>
      <c r="R77" s="21"/>
      <c r="S77" s="21"/>
      <c r="T77" s="13"/>
      <c r="U77" s="13"/>
      <c r="V77" s="22"/>
      <c r="W77" s="22" t="str">
        <f t="array" ref="W77">IF(A77="","",IFERROR(INDEX(PARAMETROS!$J$2:$J700,MATCH(H77,PARAMETROS!$E$2:$E700,0)),""))</f>
        <v/>
      </c>
      <c r="X77" s="23" t="str">
        <f t="shared" si="0"/>
        <v/>
      </c>
    </row>
    <row r="78" spans="1:24">
      <c r="A78" s="18"/>
      <c r="B78" s="18"/>
      <c r="C78" s="18"/>
      <c r="D78" s="18"/>
      <c r="E78" s="18"/>
      <c r="F78" s="18"/>
      <c r="G78" s="13"/>
      <c r="H78" s="18"/>
      <c r="I78" s="18"/>
      <c r="J78" s="19"/>
      <c r="K78" s="18"/>
      <c r="L78" s="19"/>
      <c r="M78" s="18"/>
      <c r="N78" s="18"/>
      <c r="O78" s="20"/>
      <c r="P78" s="13"/>
      <c r="Q78" s="21"/>
      <c r="R78" s="21"/>
      <c r="S78" s="21"/>
      <c r="T78" s="13"/>
      <c r="U78" s="13"/>
      <c r="V78" s="22"/>
      <c r="W78" s="22" t="str">
        <f t="array" ref="W78">IF(A78="","",IFERROR(INDEX(PARAMETROS!$J$2:$J700,MATCH(H78,PARAMETROS!$E$2:$E700,0)),""))</f>
        <v/>
      </c>
      <c r="X78" s="23" t="str">
        <f t="shared" si="0"/>
        <v/>
      </c>
    </row>
    <row r="79" spans="1:24">
      <c r="A79" s="18"/>
      <c r="B79" s="18"/>
      <c r="C79" s="18"/>
      <c r="D79" s="18"/>
      <c r="E79" s="18"/>
      <c r="F79" s="18"/>
      <c r="G79" s="13"/>
      <c r="H79" s="18"/>
      <c r="I79" s="18"/>
      <c r="J79" s="19"/>
      <c r="K79" s="18"/>
      <c r="L79" s="19"/>
      <c r="M79" s="18"/>
      <c r="N79" s="18"/>
      <c r="O79" s="20"/>
      <c r="P79" s="13"/>
      <c r="Q79" s="21"/>
      <c r="R79" s="21"/>
      <c r="S79" s="21"/>
      <c r="T79" s="13"/>
      <c r="U79" s="13"/>
      <c r="V79" s="22"/>
      <c r="W79" s="22" t="str">
        <f t="array" ref="W79">IF(A79="","",IFERROR(INDEX(PARAMETROS!$J$2:$J700,MATCH(H79,PARAMETROS!$E$2:$E700,0)),""))</f>
        <v/>
      </c>
      <c r="X79" s="23" t="str">
        <f t="shared" si="0"/>
        <v/>
      </c>
    </row>
    <row r="80" spans="1:24">
      <c r="A80" s="18"/>
      <c r="B80" s="18"/>
      <c r="C80" s="18"/>
      <c r="D80" s="18"/>
      <c r="E80" s="18"/>
      <c r="F80" s="18"/>
      <c r="G80" s="13"/>
      <c r="H80" s="18"/>
      <c r="I80" s="18"/>
      <c r="J80" s="19"/>
      <c r="K80" s="18"/>
      <c r="L80" s="19"/>
      <c r="M80" s="18"/>
      <c r="N80" s="18"/>
      <c r="O80" s="20"/>
      <c r="P80" s="13"/>
      <c r="Q80" s="21"/>
      <c r="R80" s="21"/>
      <c r="S80" s="21"/>
      <c r="T80" s="13"/>
      <c r="U80" s="13"/>
      <c r="V80" s="22"/>
      <c r="W80" s="22" t="str">
        <f t="array" ref="W80">IF(A80="","",IFERROR(INDEX(PARAMETROS!$J$2:$J700,MATCH(H80,PARAMETROS!$E$2:$E700,0)),""))</f>
        <v/>
      </c>
      <c r="X80" s="23" t="str">
        <f t="shared" si="0"/>
        <v/>
      </c>
    </row>
    <row r="81" spans="1:24">
      <c r="A81" s="18"/>
      <c r="B81" s="18"/>
      <c r="C81" s="18"/>
      <c r="D81" s="18"/>
      <c r="E81" s="18"/>
      <c r="F81" s="18"/>
      <c r="G81" s="13"/>
      <c r="H81" s="18"/>
      <c r="I81" s="18"/>
      <c r="J81" s="19"/>
      <c r="K81" s="18"/>
      <c r="L81" s="19"/>
      <c r="M81" s="18"/>
      <c r="N81" s="18"/>
      <c r="O81" s="20"/>
      <c r="P81" s="13"/>
      <c r="Q81" s="21"/>
      <c r="R81" s="21"/>
      <c r="S81" s="21"/>
      <c r="T81" s="13"/>
      <c r="U81" s="13"/>
      <c r="V81" s="22"/>
      <c r="W81" s="22" t="str">
        <f t="array" ref="W81">IF(A81="","",IFERROR(INDEX(PARAMETROS!$J$2:$J700,MATCH(H81,PARAMETROS!$E$2:$E700,0)),""))</f>
        <v/>
      </c>
      <c r="X81" s="23" t="str">
        <f t="shared" si="0"/>
        <v/>
      </c>
    </row>
    <row r="82" spans="1:24">
      <c r="A82" s="18"/>
      <c r="B82" s="18"/>
      <c r="C82" s="18"/>
      <c r="D82" s="18"/>
      <c r="E82" s="18"/>
      <c r="F82" s="18"/>
      <c r="G82" s="13"/>
      <c r="H82" s="18"/>
      <c r="I82" s="18"/>
      <c r="J82" s="19"/>
      <c r="K82" s="18"/>
      <c r="L82" s="19"/>
      <c r="M82" s="18"/>
      <c r="N82" s="18"/>
      <c r="O82" s="20"/>
      <c r="P82" s="13"/>
      <c r="Q82" s="21"/>
      <c r="R82" s="21"/>
      <c r="S82" s="21"/>
      <c r="T82" s="13"/>
      <c r="U82" s="13"/>
      <c r="V82" s="22"/>
      <c r="W82" s="22" t="str">
        <f t="array" ref="W82">IF(A82="","",IFERROR(INDEX(PARAMETROS!$J$2:$J700,MATCH(H82,PARAMETROS!$E$2:$E700,0)),""))</f>
        <v/>
      </c>
      <c r="X82" s="23" t="str">
        <f t="shared" si="0"/>
        <v/>
      </c>
    </row>
    <row r="83" spans="1:24">
      <c r="A83" s="18"/>
      <c r="B83" s="18"/>
      <c r="C83" s="18"/>
      <c r="D83" s="18"/>
      <c r="E83" s="18"/>
      <c r="F83" s="18"/>
      <c r="G83" s="13"/>
      <c r="H83" s="18"/>
      <c r="I83" s="18"/>
      <c r="J83" s="19"/>
      <c r="K83" s="18"/>
      <c r="L83" s="19"/>
      <c r="M83" s="18"/>
      <c r="N83" s="18"/>
      <c r="O83" s="20"/>
      <c r="P83" s="13"/>
      <c r="Q83" s="21"/>
      <c r="R83" s="21"/>
      <c r="S83" s="21"/>
      <c r="T83" s="13"/>
      <c r="U83" s="13"/>
      <c r="V83" s="22"/>
      <c r="W83" s="22" t="str">
        <f t="array" ref="W83">IF(A83="","",IFERROR(INDEX(PARAMETROS!$J$2:$J700,MATCH(H83,PARAMETROS!$E$2:$E700,0)),""))</f>
        <v/>
      </c>
      <c r="X83" s="23" t="str">
        <f t="shared" si="0"/>
        <v/>
      </c>
    </row>
    <row r="84" spans="1:24">
      <c r="A84" s="18"/>
      <c r="B84" s="18"/>
      <c r="C84" s="18"/>
      <c r="D84" s="18"/>
      <c r="E84" s="18"/>
      <c r="F84" s="18"/>
      <c r="G84" s="13"/>
      <c r="H84" s="18"/>
      <c r="I84" s="18"/>
      <c r="J84" s="19"/>
      <c r="K84" s="18"/>
      <c r="L84" s="19"/>
      <c r="M84" s="18"/>
      <c r="N84" s="18"/>
      <c r="O84" s="20"/>
      <c r="P84" s="13"/>
      <c r="Q84" s="21"/>
      <c r="R84" s="21"/>
      <c r="S84" s="21"/>
      <c r="T84" s="13"/>
      <c r="U84" s="13"/>
      <c r="V84" s="22"/>
      <c r="W84" s="22" t="str">
        <f t="array" ref="W84">IF(A84="","",IFERROR(INDEX(PARAMETROS!$J$2:$J700,MATCH(H84,PARAMETROS!$E$2:$E700,0)),""))</f>
        <v/>
      </c>
      <c r="X84" s="23" t="str">
        <f t="shared" si="0"/>
        <v/>
      </c>
    </row>
    <row r="85" spans="1:24">
      <c r="A85" s="18"/>
      <c r="B85" s="18"/>
      <c r="C85" s="18"/>
      <c r="D85" s="18"/>
      <c r="E85" s="18"/>
      <c r="F85" s="18"/>
      <c r="G85" s="13"/>
      <c r="H85" s="18"/>
      <c r="I85" s="18"/>
      <c r="J85" s="19"/>
      <c r="K85" s="18"/>
      <c r="L85" s="19"/>
      <c r="M85" s="18"/>
      <c r="N85" s="18"/>
      <c r="O85" s="20"/>
      <c r="P85" s="13"/>
      <c r="Q85" s="21"/>
      <c r="R85" s="21"/>
      <c r="S85" s="21"/>
      <c r="T85" s="13"/>
      <c r="U85" s="13"/>
      <c r="V85" s="22"/>
      <c r="W85" s="22" t="str">
        <f t="array" ref="W85">IF(A85="","",IFERROR(INDEX(PARAMETROS!$J$2:$J700,MATCH(H85,PARAMETROS!$E$2:$E700,0)),""))</f>
        <v/>
      </c>
      <c r="X85" s="23" t="str">
        <f t="shared" si="0"/>
        <v/>
      </c>
    </row>
    <row r="86" spans="1:24">
      <c r="A86" s="18"/>
      <c r="B86" s="18"/>
      <c r="C86" s="18"/>
      <c r="D86" s="18"/>
      <c r="E86" s="18"/>
      <c r="F86" s="18"/>
      <c r="G86" s="13"/>
      <c r="H86" s="18"/>
      <c r="I86" s="18"/>
      <c r="J86" s="19"/>
      <c r="K86" s="18"/>
      <c r="L86" s="19"/>
      <c r="M86" s="18"/>
      <c r="N86" s="18"/>
      <c r="O86" s="20"/>
      <c r="P86" s="13"/>
      <c r="Q86" s="21"/>
      <c r="R86" s="21"/>
      <c r="S86" s="21"/>
      <c r="T86" s="13"/>
      <c r="U86" s="13"/>
      <c r="V86" s="22"/>
      <c r="W86" s="22" t="str">
        <f t="array" ref="W86">IF(A86="","",IFERROR(INDEX(PARAMETROS!$J$2:$J700,MATCH(H86,PARAMETROS!$E$2:$E700,0)),""))</f>
        <v/>
      </c>
      <c r="X86" s="23" t="str">
        <f t="shared" si="0"/>
        <v/>
      </c>
    </row>
    <row r="87" spans="1:24">
      <c r="A87" s="18"/>
      <c r="B87" s="18"/>
      <c r="C87" s="18"/>
      <c r="D87" s="18"/>
      <c r="E87" s="18"/>
      <c r="F87" s="18"/>
      <c r="G87" s="13"/>
      <c r="H87" s="18"/>
      <c r="I87" s="18"/>
      <c r="J87" s="19"/>
      <c r="K87" s="18"/>
      <c r="L87" s="19"/>
      <c r="M87" s="18"/>
      <c r="N87" s="18"/>
      <c r="O87" s="20"/>
      <c r="P87" s="13"/>
      <c r="Q87" s="21"/>
      <c r="R87" s="21"/>
      <c r="S87" s="21"/>
      <c r="T87" s="13"/>
      <c r="U87" s="13"/>
      <c r="V87" s="22"/>
      <c r="W87" s="22" t="str">
        <f t="array" ref="W87">IF(A87="","",IFERROR(INDEX(PARAMETROS!$J$2:$J700,MATCH(H87,PARAMETROS!$E$2:$E700,0)),""))</f>
        <v/>
      </c>
      <c r="X87" s="23" t="str">
        <f t="shared" si="0"/>
        <v/>
      </c>
    </row>
    <row r="88" spans="1:24">
      <c r="A88" s="18"/>
      <c r="B88" s="18"/>
      <c r="C88" s="18"/>
      <c r="D88" s="18"/>
      <c r="E88" s="18"/>
      <c r="F88" s="18"/>
      <c r="G88" s="13"/>
      <c r="H88" s="18"/>
      <c r="I88" s="18"/>
      <c r="J88" s="19"/>
      <c r="K88" s="18"/>
      <c r="L88" s="19"/>
      <c r="M88" s="18"/>
      <c r="N88" s="18"/>
      <c r="O88" s="20"/>
      <c r="P88" s="13"/>
      <c r="Q88" s="21"/>
      <c r="R88" s="21"/>
      <c r="S88" s="21"/>
      <c r="T88" s="13"/>
      <c r="U88" s="13"/>
      <c r="V88" s="22"/>
      <c r="W88" s="22" t="str">
        <f t="array" ref="W88">IF(A88="","",IFERROR(INDEX(PARAMETROS!$J$2:$J700,MATCH(H88,PARAMETROS!$E$2:$E700,0)),""))</f>
        <v/>
      </c>
      <c r="X88" s="23" t="str">
        <f t="shared" si="0"/>
        <v/>
      </c>
    </row>
    <row r="89" spans="1:24">
      <c r="A89" s="18"/>
      <c r="B89" s="18"/>
      <c r="C89" s="18"/>
      <c r="D89" s="18"/>
      <c r="E89" s="18"/>
      <c r="F89" s="18"/>
      <c r="G89" s="13"/>
      <c r="H89" s="18"/>
      <c r="I89" s="18"/>
      <c r="J89" s="19"/>
      <c r="K89" s="18"/>
      <c r="L89" s="19"/>
      <c r="M89" s="18"/>
      <c r="N89" s="18"/>
      <c r="O89" s="20"/>
      <c r="P89" s="13"/>
      <c r="Q89" s="21"/>
      <c r="R89" s="21"/>
      <c r="S89" s="21"/>
      <c r="T89" s="13"/>
      <c r="U89" s="13"/>
      <c r="V89" s="22"/>
      <c r="W89" s="22" t="str">
        <f t="array" ref="W89">IF(A89="","",IFERROR(INDEX(PARAMETROS!$J$2:$J700,MATCH(H89,PARAMETROS!$E$2:$E700,0)),""))</f>
        <v/>
      </c>
      <c r="X89" s="23" t="str">
        <f t="shared" si="0"/>
        <v/>
      </c>
    </row>
    <row r="90" spans="1:24">
      <c r="A90" s="18"/>
      <c r="B90" s="18"/>
      <c r="C90" s="18"/>
      <c r="D90" s="18"/>
      <c r="E90" s="18"/>
      <c r="F90" s="18"/>
      <c r="G90" s="13"/>
      <c r="H90" s="18"/>
      <c r="I90" s="18"/>
      <c r="J90" s="19"/>
      <c r="K90" s="18"/>
      <c r="L90" s="19"/>
      <c r="M90" s="18"/>
      <c r="N90" s="18"/>
      <c r="O90" s="20"/>
      <c r="P90" s="13"/>
      <c r="Q90" s="21"/>
      <c r="R90" s="21"/>
      <c r="S90" s="21"/>
      <c r="T90" s="13"/>
      <c r="U90" s="13"/>
      <c r="V90" s="22"/>
      <c r="W90" s="22" t="str">
        <f t="array" ref="W90">IF(A90="","",IFERROR(INDEX(PARAMETROS!$J$2:$J700,MATCH(H90,PARAMETROS!$E$2:$E700,0)),""))</f>
        <v/>
      </c>
      <c r="X90" s="23" t="str">
        <f t="shared" si="0"/>
        <v/>
      </c>
    </row>
    <row r="91" spans="1:24">
      <c r="A91" s="18"/>
      <c r="B91" s="18"/>
      <c r="C91" s="18"/>
      <c r="D91" s="18"/>
      <c r="E91" s="18"/>
      <c r="F91" s="18"/>
      <c r="G91" s="13"/>
      <c r="H91" s="18"/>
      <c r="I91" s="18"/>
      <c r="J91" s="19"/>
      <c r="K91" s="18"/>
      <c r="L91" s="19"/>
      <c r="M91" s="18"/>
      <c r="N91" s="18"/>
      <c r="O91" s="20"/>
      <c r="P91" s="13"/>
      <c r="Q91" s="21"/>
      <c r="R91" s="21"/>
      <c r="S91" s="21"/>
      <c r="T91" s="13"/>
      <c r="U91" s="13"/>
      <c r="V91" s="22"/>
      <c r="W91" s="22" t="str">
        <f t="array" ref="W91">IF(A91="","",IFERROR(INDEX(PARAMETROS!$J$2:$J700,MATCH(H91,PARAMETROS!$E$2:$E700,0)),""))</f>
        <v/>
      </c>
      <c r="X91" s="23" t="str">
        <f t="shared" si="0"/>
        <v/>
      </c>
    </row>
    <row r="92" spans="1:24">
      <c r="A92" s="18"/>
      <c r="B92" s="18"/>
      <c r="C92" s="18"/>
      <c r="D92" s="18"/>
      <c r="E92" s="18"/>
      <c r="F92" s="18"/>
      <c r="G92" s="13"/>
      <c r="H92" s="18"/>
      <c r="I92" s="18"/>
      <c r="J92" s="19"/>
      <c r="K92" s="18"/>
      <c r="L92" s="19"/>
      <c r="M92" s="18"/>
      <c r="N92" s="18"/>
      <c r="O92" s="20"/>
      <c r="P92" s="13"/>
      <c r="Q92" s="21"/>
      <c r="R92" s="21"/>
      <c r="S92" s="21"/>
      <c r="T92" s="13"/>
      <c r="U92" s="13"/>
      <c r="V92" s="22"/>
      <c r="W92" s="22" t="str">
        <f t="array" ref="W92">IF(A92="","",IFERROR(INDEX(PARAMETROS!$J$2:$J700,MATCH(H92,PARAMETROS!$E$2:$E700,0)),""))</f>
        <v/>
      </c>
      <c r="X92" s="23" t="str">
        <f t="shared" si="0"/>
        <v/>
      </c>
    </row>
    <row r="93" spans="1:24">
      <c r="A93" s="18"/>
      <c r="B93" s="18"/>
      <c r="C93" s="18"/>
      <c r="D93" s="18"/>
      <c r="E93" s="18"/>
      <c r="F93" s="18"/>
      <c r="G93" s="13"/>
      <c r="H93" s="18"/>
      <c r="I93" s="18"/>
      <c r="J93" s="19"/>
      <c r="K93" s="18"/>
      <c r="L93" s="19"/>
      <c r="M93" s="18"/>
      <c r="N93" s="18"/>
      <c r="O93" s="20"/>
      <c r="P93" s="13"/>
      <c r="Q93" s="21"/>
      <c r="R93" s="21"/>
      <c r="S93" s="21"/>
      <c r="T93" s="13"/>
      <c r="U93" s="13"/>
      <c r="V93" s="22"/>
      <c r="W93" s="22" t="str">
        <f t="array" ref="W93">IF(A93="","",IFERROR(INDEX(PARAMETROS!$J$2:$J700,MATCH(H93,PARAMETROS!$E$2:$E700,0)),""))</f>
        <v/>
      </c>
      <c r="X93" s="23" t="str">
        <f t="shared" si="0"/>
        <v/>
      </c>
    </row>
    <row r="94" spans="1:24">
      <c r="A94" s="18"/>
      <c r="B94" s="18"/>
      <c r="C94" s="18"/>
      <c r="D94" s="18"/>
      <c r="E94" s="18"/>
      <c r="F94" s="18"/>
      <c r="G94" s="13"/>
      <c r="H94" s="18"/>
      <c r="I94" s="18"/>
      <c r="J94" s="19"/>
      <c r="K94" s="18"/>
      <c r="L94" s="19"/>
      <c r="M94" s="18"/>
      <c r="N94" s="18"/>
      <c r="O94" s="20"/>
      <c r="P94" s="13"/>
      <c r="Q94" s="21"/>
      <c r="R94" s="21"/>
      <c r="S94" s="21"/>
      <c r="T94" s="13"/>
      <c r="U94" s="13"/>
      <c r="V94" s="22"/>
      <c r="W94" s="22" t="str">
        <f t="array" ref="W94">IF(A94="","",IFERROR(INDEX(PARAMETROS!$J$2:$J700,MATCH(H94,PARAMETROS!$E$2:$E700,0)),""))</f>
        <v/>
      </c>
      <c r="X94" s="23" t="str">
        <f t="shared" si="0"/>
        <v/>
      </c>
    </row>
    <row r="95" spans="1:24">
      <c r="A95" s="18"/>
      <c r="B95" s="18"/>
      <c r="C95" s="18"/>
      <c r="D95" s="18"/>
      <c r="E95" s="18"/>
      <c r="F95" s="18"/>
      <c r="G95" s="13"/>
      <c r="H95" s="18"/>
      <c r="I95" s="18"/>
      <c r="J95" s="19"/>
      <c r="K95" s="18"/>
      <c r="L95" s="19"/>
      <c r="M95" s="18"/>
      <c r="N95" s="18"/>
      <c r="O95" s="20"/>
      <c r="P95" s="13"/>
      <c r="Q95" s="21"/>
      <c r="R95" s="21"/>
      <c r="S95" s="21"/>
      <c r="T95" s="13"/>
      <c r="U95" s="13"/>
      <c r="V95" s="22"/>
      <c r="W95" s="22" t="str">
        <f t="array" ref="W95">IF(A95="","",IFERROR(INDEX(PARAMETROS!$J$2:$J700,MATCH(H95,PARAMETROS!$E$2:$E700,0)),""))</f>
        <v/>
      </c>
      <c r="X95" s="23" t="str">
        <f t="shared" si="0"/>
        <v/>
      </c>
    </row>
    <row r="96" spans="1:24">
      <c r="A96" s="18"/>
      <c r="B96" s="18"/>
      <c r="C96" s="18"/>
      <c r="D96" s="18"/>
      <c r="E96" s="18"/>
      <c r="F96" s="18"/>
      <c r="G96" s="13"/>
      <c r="H96" s="18"/>
      <c r="I96" s="18"/>
      <c r="J96" s="19"/>
      <c r="K96" s="18"/>
      <c r="L96" s="19"/>
      <c r="M96" s="18"/>
      <c r="N96" s="18"/>
      <c r="O96" s="20"/>
      <c r="P96" s="13"/>
      <c r="Q96" s="21"/>
      <c r="R96" s="21"/>
      <c r="S96" s="21"/>
      <c r="T96" s="13"/>
      <c r="U96" s="13"/>
      <c r="V96" s="22"/>
      <c r="W96" s="22" t="str">
        <f t="array" ref="W96">IF(A96="","",IFERROR(INDEX(PARAMETROS!$J$2:$J700,MATCH(H96,PARAMETROS!$E$2:$E700,0)),""))</f>
        <v/>
      </c>
      <c r="X96" s="23" t="str">
        <f t="shared" si="0"/>
        <v/>
      </c>
    </row>
    <row r="97" spans="1:24">
      <c r="A97" s="18"/>
      <c r="B97" s="18"/>
      <c r="C97" s="18"/>
      <c r="D97" s="18"/>
      <c r="E97" s="18"/>
      <c r="F97" s="18"/>
      <c r="G97" s="13"/>
      <c r="H97" s="18"/>
      <c r="I97" s="18"/>
      <c r="J97" s="19"/>
      <c r="K97" s="18"/>
      <c r="L97" s="19"/>
      <c r="M97" s="18"/>
      <c r="N97" s="18"/>
      <c r="O97" s="20"/>
      <c r="P97" s="13"/>
      <c r="Q97" s="21"/>
      <c r="R97" s="21"/>
      <c r="S97" s="21"/>
      <c r="T97" s="13"/>
      <c r="U97" s="13"/>
      <c r="V97" s="22"/>
      <c r="W97" s="22" t="str">
        <f t="array" ref="W97">IF(A97="","",IFERROR(INDEX(PARAMETROS!$J$2:$J700,MATCH(H97,PARAMETROS!$E$2:$E700,0)),""))</f>
        <v/>
      </c>
      <c r="X97" s="23" t="str">
        <f t="shared" si="0"/>
        <v/>
      </c>
    </row>
    <row r="98" spans="1:24">
      <c r="A98" s="18"/>
      <c r="B98" s="18"/>
      <c r="C98" s="18"/>
      <c r="D98" s="18"/>
      <c r="E98" s="18"/>
      <c r="F98" s="18"/>
      <c r="G98" s="13"/>
      <c r="H98" s="18"/>
      <c r="I98" s="18"/>
      <c r="J98" s="19"/>
      <c r="K98" s="18"/>
      <c r="L98" s="19"/>
      <c r="M98" s="18"/>
      <c r="N98" s="18"/>
      <c r="O98" s="20"/>
      <c r="P98" s="13"/>
      <c r="Q98" s="21"/>
      <c r="R98" s="21"/>
      <c r="S98" s="21"/>
      <c r="T98" s="13"/>
      <c r="U98" s="13"/>
      <c r="V98" s="22"/>
      <c r="W98" s="22" t="str">
        <f t="array" ref="W98">IF(A98="","",IFERROR(INDEX(PARAMETROS!$J$2:$J700,MATCH(H98,PARAMETROS!$E$2:$E700,0)),""))</f>
        <v/>
      </c>
      <c r="X98" s="23" t="str">
        <f t="shared" si="0"/>
        <v/>
      </c>
    </row>
    <row r="99" spans="1:24">
      <c r="A99" s="18"/>
      <c r="B99" s="18"/>
      <c r="C99" s="18"/>
      <c r="D99" s="18"/>
      <c r="E99" s="18"/>
      <c r="F99" s="18"/>
      <c r="G99" s="13"/>
      <c r="H99" s="18"/>
      <c r="I99" s="18"/>
      <c r="J99" s="19"/>
      <c r="K99" s="18"/>
      <c r="L99" s="19"/>
      <c r="M99" s="18"/>
      <c r="N99" s="18"/>
      <c r="O99" s="20"/>
      <c r="P99" s="13"/>
      <c r="Q99" s="21"/>
      <c r="R99" s="21"/>
      <c r="S99" s="21"/>
      <c r="T99" s="13"/>
      <c r="U99" s="13"/>
      <c r="V99" s="22"/>
      <c r="W99" s="22" t="str">
        <f t="array" ref="W99">IF(A99="","",IFERROR(INDEX(PARAMETROS!$J$2:$J700,MATCH(H99,PARAMETROS!$E$2:$E700,0)),""))</f>
        <v/>
      </c>
      <c r="X99" s="23" t="str">
        <f t="shared" si="0"/>
        <v/>
      </c>
    </row>
    <row r="100" spans="1:24">
      <c r="A100" s="18"/>
      <c r="B100" s="18"/>
      <c r="C100" s="18"/>
      <c r="D100" s="18"/>
      <c r="E100" s="18"/>
      <c r="F100" s="18"/>
      <c r="G100" s="13"/>
      <c r="H100" s="18"/>
      <c r="I100" s="18"/>
      <c r="J100" s="19"/>
      <c r="K100" s="18"/>
      <c r="L100" s="19"/>
      <c r="M100" s="18"/>
      <c r="N100" s="18"/>
      <c r="O100" s="20"/>
      <c r="P100" s="13"/>
      <c r="Q100" s="21"/>
      <c r="R100" s="21"/>
      <c r="S100" s="21"/>
      <c r="T100" s="13"/>
      <c r="U100" s="13"/>
      <c r="V100" s="22"/>
      <c r="W100" s="22" t="str">
        <f t="array" ref="W100">IF(A100="","",IFERROR(INDEX(PARAMETROS!$J$2:$J700,MATCH(H100,PARAMETROS!$E$2:$E700,0)),""))</f>
        <v/>
      </c>
      <c r="X100" s="23" t="str">
        <f t="shared" si="0"/>
        <v/>
      </c>
    </row>
    <row r="101" spans="1:24">
      <c r="A101" s="18"/>
      <c r="B101" s="18"/>
      <c r="C101" s="18"/>
      <c r="D101" s="18"/>
      <c r="E101" s="18"/>
      <c r="F101" s="18"/>
      <c r="G101" s="13"/>
      <c r="H101" s="18"/>
      <c r="I101" s="18"/>
      <c r="J101" s="19"/>
      <c r="K101" s="18"/>
      <c r="L101" s="19"/>
      <c r="M101" s="18"/>
      <c r="N101" s="18"/>
      <c r="O101" s="20"/>
      <c r="P101" s="13"/>
      <c r="Q101" s="21"/>
      <c r="R101" s="21"/>
      <c r="S101" s="21"/>
      <c r="T101" s="13"/>
      <c r="U101" s="13"/>
      <c r="V101" s="22"/>
      <c r="W101" s="22" t="str">
        <f t="array" ref="W101">IF(A101="","",IFERROR(INDEX(PARAMETROS!$J$2:$J700,MATCH(H101,PARAMETROS!$E$2:$E700,0)),""))</f>
        <v/>
      </c>
      <c r="X101" s="23" t="str">
        <f t="shared" si="0"/>
        <v/>
      </c>
    </row>
    <row r="102" spans="1:24">
      <c r="A102" s="18"/>
      <c r="B102" s="18"/>
      <c r="C102" s="18"/>
      <c r="D102" s="18"/>
      <c r="E102" s="18"/>
      <c r="F102" s="18"/>
      <c r="G102" s="13"/>
      <c r="H102" s="18"/>
      <c r="I102" s="18"/>
      <c r="J102" s="19"/>
      <c r="K102" s="18"/>
      <c r="L102" s="19"/>
      <c r="M102" s="18"/>
      <c r="N102" s="18"/>
      <c r="O102" s="20"/>
      <c r="P102" s="13"/>
      <c r="Q102" s="21"/>
      <c r="R102" s="21"/>
      <c r="S102" s="21"/>
      <c r="T102" s="13"/>
      <c r="U102" s="13"/>
      <c r="V102" s="22"/>
      <c r="W102" s="22" t="str">
        <f t="array" ref="W102">IF(A102="","",IFERROR(INDEX(PARAMETROS!$J$2:$J700,MATCH(H102,PARAMETROS!$E$2:$E700,0)),""))</f>
        <v/>
      </c>
      <c r="X102" s="23" t="str">
        <f t="shared" si="0"/>
        <v/>
      </c>
    </row>
    <row r="103" spans="1:24">
      <c r="A103" s="18"/>
      <c r="B103" s="18"/>
      <c r="C103" s="18"/>
      <c r="D103" s="18"/>
      <c r="E103" s="18"/>
      <c r="F103" s="18"/>
      <c r="G103" s="13"/>
      <c r="H103" s="18"/>
      <c r="I103" s="18"/>
      <c r="J103" s="19"/>
      <c r="K103" s="18"/>
      <c r="L103" s="19"/>
      <c r="M103" s="18"/>
      <c r="N103" s="18"/>
      <c r="O103" s="20"/>
      <c r="P103" s="13"/>
      <c r="Q103" s="21"/>
      <c r="R103" s="21"/>
      <c r="S103" s="21"/>
      <c r="T103" s="13"/>
      <c r="U103" s="13"/>
      <c r="V103" s="22"/>
      <c r="W103" s="22" t="str">
        <f t="array" ref="W103">IF(A103="","",IFERROR(INDEX(PARAMETROS!$J$2:$J700,MATCH(H103,PARAMETROS!$E$2:$E700,0)),""))</f>
        <v/>
      </c>
      <c r="X103" s="23" t="str">
        <f t="shared" si="0"/>
        <v/>
      </c>
    </row>
    <row r="104" spans="1:24">
      <c r="A104" s="18"/>
      <c r="B104" s="18"/>
      <c r="C104" s="18"/>
      <c r="D104" s="18"/>
      <c r="E104" s="18"/>
      <c r="F104" s="18"/>
      <c r="G104" s="13"/>
      <c r="H104" s="18"/>
      <c r="I104" s="18"/>
      <c r="J104" s="19"/>
      <c r="K104" s="18"/>
      <c r="L104" s="19"/>
      <c r="M104" s="18"/>
      <c r="N104" s="18"/>
      <c r="O104" s="20"/>
      <c r="P104" s="13"/>
      <c r="Q104" s="21"/>
      <c r="R104" s="21"/>
      <c r="S104" s="21"/>
      <c r="T104" s="13"/>
      <c r="U104" s="13"/>
      <c r="V104" s="22"/>
      <c r="W104" s="22" t="str">
        <f t="array" ref="W104">IF(A104="","",IFERROR(INDEX(PARAMETROS!$J$2:$J700,MATCH(H104,PARAMETROS!$E$2:$E700,0)),""))</f>
        <v/>
      </c>
      <c r="X104" s="23" t="str">
        <f t="shared" si="0"/>
        <v/>
      </c>
    </row>
    <row r="105" spans="1:24">
      <c r="A105" s="18"/>
      <c r="B105" s="18"/>
      <c r="C105" s="18"/>
      <c r="D105" s="18"/>
      <c r="E105" s="18"/>
      <c r="F105" s="18"/>
      <c r="G105" s="13"/>
      <c r="H105" s="18"/>
      <c r="I105" s="18"/>
      <c r="J105" s="19"/>
      <c r="K105" s="18"/>
      <c r="L105" s="19"/>
      <c r="M105" s="18"/>
      <c r="N105" s="18"/>
      <c r="O105" s="20"/>
      <c r="P105" s="13"/>
      <c r="Q105" s="21"/>
      <c r="R105" s="21"/>
      <c r="S105" s="21"/>
      <c r="T105" s="13"/>
      <c r="U105" s="13"/>
      <c r="V105" s="22"/>
      <c r="W105" s="22" t="str">
        <f t="array" ref="W105">IF(A105="","",IFERROR(INDEX(PARAMETROS!$J$2:$J700,MATCH(H105,PARAMETROS!$E$2:$E700,0)),""))</f>
        <v/>
      </c>
      <c r="X105" s="23" t="str">
        <f t="shared" si="0"/>
        <v/>
      </c>
    </row>
    <row r="106" spans="1:24">
      <c r="A106" s="18"/>
      <c r="B106" s="18"/>
      <c r="C106" s="18"/>
      <c r="D106" s="18"/>
      <c r="E106" s="18"/>
      <c r="F106" s="18"/>
      <c r="G106" s="13"/>
      <c r="H106" s="18"/>
      <c r="I106" s="18"/>
      <c r="J106" s="19"/>
      <c r="K106" s="18"/>
      <c r="L106" s="19"/>
      <c r="M106" s="18"/>
      <c r="N106" s="18"/>
      <c r="O106" s="20"/>
      <c r="P106" s="13"/>
      <c r="Q106" s="21"/>
      <c r="R106" s="21"/>
      <c r="S106" s="21"/>
      <c r="T106" s="13"/>
      <c r="U106" s="13"/>
      <c r="V106" s="22"/>
      <c r="W106" s="22" t="str">
        <f t="array" ref="W106">IF(A106="","",IFERROR(INDEX(PARAMETROS!$J$2:$J700,MATCH(H106,PARAMETROS!$E$2:$E700,0)),""))</f>
        <v/>
      </c>
      <c r="X106" s="23" t="str">
        <f t="shared" si="0"/>
        <v/>
      </c>
    </row>
    <row r="107" spans="1:24">
      <c r="A107" s="18"/>
      <c r="B107" s="18"/>
      <c r="C107" s="18"/>
      <c r="D107" s="18"/>
      <c r="E107" s="18"/>
      <c r="F107" s="18"/>
      <c r="G107" s="13"/>
      <c r="H107" s="18"/>
      <c r="I107" s="18"/>
      <c r="J107" s="19"/>
      <c r="K107" s="18"/>
      <c r="L107" s="19"/>
      <c r="M107" s="18"/>
      <c r="N107" s="18"/>
      <c r="O107" s="20"/>
      <c r="P107" s="13"/>
      <c r="Q107" s="21"/>
      <c r="R107" s="21"/>
      <c r="S107" s="21"/>
      <c r="T107" s="13"/>
      <c r="U107" s="13"/>
      <c r="V107" s="22"/>
      <c r="W107" s="22" t="str">
        <f t="array" ref="W107">IF(A107="","",IFERROR(INDEX(PARAMETROS!$J$2:$J700,MATCH(H107,PARAMETROS!$E$2:$E700,0)),""))</f>
        <v/>
      </c>
      <c r="X107" s="23" t="str">
        <f t="shared" si="0"/>
        <v/>
      </c>
    </row>
    <row r="108" spans="1:24">
      <c r="A108" s="18"/>
      <c r="B108" s="18"/>
      <c r="C108" s="18"/>
      <c r="D108" s="18"/>
      <c r="E108" s="18"/>
      <c r="F108" s="18"/>
      <c r="G108" s="13"/>
      <c r="H108" s="18"/>
      <c r="I108" s="18"/>
      <c r="J108" s="19"/>
      <c r="K108" s="18"/>
      <c r="L108" s="19"/>
      <c r="M108" s="18"/>
      <c r="N108" s="18"/>
      <c r="O108" s="20"/>
      <c r="P108" s="13"/>
      <c r="Q108" s="21"/>
      <c r="R108" s="21"/>
      <c r="S108" s="21"/>
      <c r="T108" s="13"/>
      <c r="U108" s="13"/>
      <c r="V108" s="22"/>
      <c r="W108" s="22" t="str">
        <f t="array" ref="W108">IF(A108="","",IFERROR(INDEX(PARAMETROS!$J$2:$J700,MATCH(H108,PARAMETROS!$E$2:$E700,0)),""))</f>
        <v/>
      </c>
      <c r="X108" s="23" t="str">
        <f t="shared" si="0"/>
        <v/>
      </c>
    </row>
    <row r="109" spans="1:24">
      <c r="A109" s="18"/>
      <c r="B109" s="18"/>
      <c r="C109" s="18"/>
      <c r="D109" s="18"/>
      <c r="E109" s="18"/>
      <c r="F109" s="18"/>
      <c r="G109" s="13"/>
      <c r="H109" s="18"/>
      <c r="I109" s="18"/>
      <c r="J109" s="19"/>
      <c r="K109" s="18"/>
      <c r="L109" s="19"/>
      <c r="M109" s="18"/>
      <c r="N109" s="18"/>
      <c r="O109" s="20"/>
      <c r="P109" s="13"/>
      <c r="Q109" s="21"/>
      <c r="R109" s="21"/>
      <c r="S109" s="21"/>
      <c r="T109" s="13"/>
      <c r="U109" s="13"/>
      <c r="V109" s="22"/>
      <c r="W109" s="22" t="str">
        <f t="array" ref="W109">IF(A109="","",IFERROR(INDEX(PARAMETROS!$J$2:$J700,MATCH(H109,PARAMETROS!$E$2:$E700,0)),""))</f>
        <v/>
      </c>
      <c r="X109" s="23" t="str">
        <f t="shared" si="0"/>
        <v/>
      </c>
    </row>
    <row r="110" spans="1:24">
      <c r="A110" s="18"/>
      <c r="B110" s="18"/>
      <c r="C110" s="18"/>
      <c r="D110" s="18"/>
      <c r="E110" s="18"/>
      <c r="F110" s="18"/>
      <c r="G110" s="13"/>
      <c r="H110" s="18"/>
      <c r="I110" s="18"/>
      <c r="J110" s="19"/>
      <c r="K110" s="18"/>
      <c r="L110" s="19"/>
      <c r="M110" s="18"/>
      <c r="N110" s="18"/>
      <c r="O110" s="20"/>
      <c r="P110" s="13"/>
      <c r="Q110" s="21"/>
      <c r="R110" s="21"/>
      <c r="S110" s="21"/>
      <c r="T110" s="13"/>
      <c r="U110" s="13"/>
      <c r="V110" s="22"/>
      <c r="W110" s="22" t="str">
        <f t="array" ref="W110">IF(A110="","",IFERROR(INDEX(PARAMETROS!$J$2:$J700,MATCH(H110,PARAMETROS!$E$2:$E700,0)),""))</f>
        <v/>
      </c>
      <c r="X110" s="23" t="str">
        <f t="shared" si="0"/>
        <v/>
      </c>
    </row>
    <row r="111" spans="1:24">
      <c r="A111" s="18"/>
      <c r="B111" s="18"/>
      <c r="C111" s="18"/>
      <c r="D111" s="18"/>
      <c r="E111" s="18"/>
      <c r="F111" s="18"/>
      <c r="G111" s="13"/>
      <c r="H111" s="18"/>
      <c r="I111" s="18"/>
      <c r="J111" s="19"/>
      <c r="K111" s="18"/>
      <c r="L111" s="19"/>
      <c r="M111" s="18"/>
      <c r="N111" s="18"/>
      <c r="O111" s="20"/>
      <c r="P111" s="13"/>
      <c r="Q111" s="21"/>
      <c r="R111" s="21"/>
      <c r="S111" s="21"/>
      <c r="T111" s="13"/>
      <c r="U111" s="13"/>
      <c r="V111" s="22"/>
      <c r="W111" s="22" t="str">
        <f t="array" ref="W111">IF(A111="","",IFERROR(INDEX(PARAMETROS!$J$2:$J700,MATCH(H111,PARAMETROS!$E$2:$E700,0)),""))</f>
        <v/>
      </c>
      <c r="X111" s="23" t="str">
        <f t="shared" si="0"/>
        <v/>
      </c>
    </row>
    <row r="112" spans="1:24">
      <c r="A112" s="18"/>
      <c r="B112" s="18"/>
      <c r="C112" s="18"/>
      <c r="D112" s="18"/>
      <c r="E112" s="18"/>
      <c r="F112" s="18"/>
      <c r="G112" s="13"/>
      <c r="H112" s="18"/>
      <c r="I112" s="18"/>
      <c r="J112" s="19"/>
      <c r="K112" s="18"/>
      <c r="L112" s="19"/>
      <c r="M112" s="18"/>
      <c r="N112" s="18"/>
      <c r="O112" s="20"/>
      <c r="P112" s="13"/>
      <c r="Q112" s="21"/>
      <c r="R112" s="21"/>
      <c r="S112" s="21"/>
      <c r="T112" s="13"/>
      <c r="U112" s="13"/>
      <c r="V112" s="22"/>
      <c r="W112" s="22" t="str">
        <f t="array" ref="W112">IF(A112="","",IFERROR(INDEX(PARAMETROS!$J$2:$J700,MATCH(H112,PARAMETROS!$E$2:$E700,0)),""))</f>
        <v/>
      </c>
      <c r="X112" s="23" t="str">
        <f t="shared" si="0"/>
        <v/>
      </c>
    </row>
    <row r="113" spans="1:24">
      <c r="A113" s="18"/>
      <c r="B113" s="18"/>
      <c r="C113" s="18"/>
      <c r="D113" s="18"/>
      <c r="E113" s="18"/>
      <c r="F113" s="18"/>
      <c r="G113" s="13"/>
      <c r="H113" s="18"/>
      <c r="I113" s="18"/>
      <c r="J113" s="19"/>
      <c r="K113" s="18"/>
      <c r="L113" s="19"/>
      <c r="M113" s="18"/>
      <c r="N113" s="18"/>
      <c r="O113" s="20"/>
      <c r="P113" s="13"/>
      <c r="Q113" s="21"/>
      <c r="R113" s="21"/>
      <c r="S113" s="21"/>
      <c r="T113" s="13"/>
      <c r="U113" s="13"/>
      <c r="V113" s="22"/>
      <c r="W113" s="22" t="str">
        <f t="array" ref="W113">IF(A113="","",IFERROR(INDEX(PARAMETROS!$J$2:$J700,MATCH(H113,PARAMETROS!$E$2:$E700,0)),""))</f>
        <v/>
      </c>
      <c r="X113" s="23" t="str">
        <f t="shared" si="0"/>
        <v/>
      </c>
    </row>
    <row r="114" spans="1:24">
      <c r="A114" s="18"/>
      <c r="B114" s="18"/>
      <c r="C114" s="18"/>
      <c r="D114" s="18"/>
      <c r="E114" s="18"/>
      <c r="F114" s="18"/>
      <c r="G114" s="13"/>
      <c r="H114" s="18"/>
      <c r="I114" s="18"/>
      <c r="J114" s="19"/>
      <c r="K114" s="18"/>
      <c r="L114" s="19"/>
      <c r="M114" s="18"/>
      <c r="N114" s="18"/>
      <c r="O114" s="20"/>
      <c r="P114" s="13"/>
      <c r="Q114" s="21"/>
      <c r="R114" s="21"/>
      <c r="S114" s="21"/>
      <c r="T114" s="13"/>
      <c r="U114" s="13"/>
      <c r="V114" s="22"/>
      <c r="W114" s="22" t="str">
        <f t="array" ref="W114">IF(A114="","",IFERROR(INDEX(PARAMETROS!$J$2:$J700,MATCH(H114,PARAMETROS!$E$2:$E700,0)),""))</f>
        <v/>
      </c>
      <c r="X114" s="23" t="str">
        <f t="shared" si="0"/>
        <v/>
      </c>
    </row>
    <row r="115" spans="1:24">
      <c r="A115" s="18"/>
      <c r="B115" s="18"/>
      <c r="C115" s="18"/>
      <c r="D115" s="18"/>
      <c r="E115" s="18"/>
      <c r="F115" s="18"/>
      <c r="G115" s="13"/>
      <c r="H115" s="18"/>
      <c r="I115" s="18"/>
      <c r="J115" s="19"/>
      <c r="K115" s="18"/>
      <c r="L115" s="19"/>
      <c r="M115" s="18"/>
      <c r="N115" s="18"/>
      <c r="O115" s="20"/>
      <c r="P115" s="13"/>
      <c r="Q115" s="21"/>
      <c r="R115" s="21"/>
      <c r="S115" s="21"/>
      <c r="T115" s="13"/>
      <c r="U115" s="13"/>
      <c r="V115" s="22"/>
      <c r="W115" s="22" t="str">
        <f t="array" ref="W115">IF(A115="","",IFERROR(INDEX(PARAMETROS!$J$2:$J700,MATCH(H115,PARAMETROS!$E$2:$E700,0)),""))</f>
        <v/>
      </c>
      <c r="X115" s="23" t="str">
        <f t="shared" si="0"/>
        <v/>
      </c>
    </row>
    <row r="116" spans="1:24">
      <c r="A116" s="18"/>
      <c r="B116" s="18"/>
      <c r="C116" s="18"/>
      <c r="D116" s="18"/>
      <c r="E116" s="18"/>
      <c r="F116" s="18"/>
      <c r="G116" s="13"/>
      <c r="H116" s="18"/>
      <c r="I116" s="18"/>
      <c r="J116" s="19"/>
      <c r="K116" s="18"/>
      <c r="L116" s="19"/>
      <c r="M116" s="18"/>
      <c r="N116" s="18"/>
      <c r="O116" s="20"/>
      <c r="P116" s="13"/>
      <c r="Q116" s="21"/>
      <c r="R116" s="21"/>
      <c r="S116" s="21"/>
      <c r="T116" s="13"/>
      <c r="U116" s="13"/>
      <c r="V116" s="22"/>
      <c r="W116" s="22" t="str">
        <f t="array" ref="W116">IF(A116="","",IFERROR(INDEX(PARAMETROS!$J$2:$J700,MATCH(H116,PARAMETROS!$E$2:$E700,0)),""))</f>
        <v/>
      </c>
      <c r="X116" s="23" t="str">
        <f t="shared" si="0"/>
        <v/>
      </c>
    </row>
    <row r="117" spans="1:24">
      <c r="A117" s="18"/>
      <c r="B117" s="18"/>
      <c r="C117" s="18"/>
      <c r="D117" s="18"/>
      <c r="E117" s="18"/>
      <c r="F117" s="18"/>
      <c r="G117" s="13"/>
      <c r="H117" s="18"/>
      <c r="I117" s="18"/>
      <c r="J117" s="19"/>
      <c r="K117" s="18"/>
      <c r="L117" s="19"/>
      <c r="M117" s="18"/>
      <c r="N117" s="18"/>
      <c r="O117" s="20"/>
      <c r="P117" s="13"/>
      <c r="Q117" s="21"/>
      <c r="R117" s="21"/>
      <c r="S117" s="21"/>
      <c r="T117" s="13"/>
      <c r="U117" s="13"/>
      <c r="V117" s="22"/>
      <c r="W117" s="22" t="str">
        <f t="array" ref="W117">IF(A117="","",IFERROR(INDEX(PARAMETROS!$J$2:$J700,MATCH(H117,PARAMETROS!$E$2:$E700,0)),""))</f>
        <v/>
      </c>
      <c r="X117" s="23" t="str">
        <f t="shared" si="0"/>
        <v/>
      </c>
    </row>
    <row r="118" spans="1:24">
      <c r="A118" s="18"/>
      <c r="B118" s="18"/>
      <c r="C118" s="18"/>
      <c r="D118" s="18"/>
      <c r="E118" s="18"/>
      <c r="F118" s="18"/>
      <c r="G118" s="13"/>
      <c r="H118" s="18"/>
      <c r="I118" s="18"/>
      <c r="J118" s="19"/>
      <c r="K118" s="18"/>
      <c r="L118" s="19"/>
      <c r="M118" s="18"/>
      <c r="N118" s="18"/>
      <c r="O118" s="20"/>
      <c r="P118" s="13"/>
      <c r="Q118" s="21"/>
      <c r="R118" s="21"/>
      <c r="S118" s="21"/>
      <c r="T118" s="13"/>
      <c r="U118" s="13"/>
      <c r="V118" s="22"/>
      <c r="W118" s="22" t="str">
        <f t="array" ref="W118">IF(A118="","",IFERROR(INDEX(PARAMETROS!$J$2:$J700,MATCH(H118,PARAMETROS!$E$2:$E700,0)),""))</f>
        <v/>
      </c>
      <c r="X118" s="23" t="str">
        <f t="shared" si="0"/>
        <v/>
      </c>
    </row>
    <row r="119" spans="1:24">
      <c r="A119" s="18"/>
      <c r="B119" s="18"/>
      <c r="C119" s="18"/>
      <c r="D119" s="18"/>
      <c r="E119" s="18"/>
      <c r="F119" s="18"/>
      <c r="G119" s="13"/>
      <c r="H119" s="18"/>
      <c r="I119" s="18"/>
      <c r="J119" s="19"/>
      <c r="K119" s="18"/>
      <c r="L119" s="19"/>
      <c r="M119" s="18"/>
      <c r="N119" s="18"/>
      <c r="O119" s="20"/>
      <c r="P119" s="13"/>
      <c r="Q119" s="21"/>
      <c r="R119" s="21"/>
      <c r="S119" s="21"/>
      <c r="T119" s="13"/>
      <c r="U119" s="13"/>
      <c r="V119" s="22"/>
      <c r="W119" s="22" t="str">
        <f t="array" ref="W119">IF(A119="","",IFERROR(INDEX(PARAMETROS!$J$2:$J700,MATCH(H119,PARAMETROS!$E$2:$E700,0)),""))</f>
        <v/>
      </c>
      <c r="X119" s="23" t="str">
        <f t="shared" si="0"/>
        <v/>
      </c>
    </row>
    <row r="120" spans="1:24">
      <c r="A120" s="18"/>
      <c r="B120" s="18"/>
      <c r="C120" s="18"/>
      <c r="D120" s="18"/>
      <c r="E120" s="18"/>
      <c r="F120" s="18"/>
      <c r="G120" s="13"/>
      <c r="H120" s="18"/>
      <c r="I120" s="18"/>
      <c r="J120" s="19"/>
      <c r="K120" s="18"/>
      <c r="L120" s="19"/>
      <c r="M120" s="18"/>
      <c r="N120" s="18"/>
      <c r="O120" s="20"/>
      <c r="P120" s="13"/>
      <c r="Q120" s="21"/>
      <c r="R120" s="21"/>
      <c r="S120" s="21"/>
      <c r="T120" s="13"/>
      <c r="U120" s="13"/>
      <c r="V120" s="22"/>
      <c r="W120" s="22" t="str">
        <f t="array" ref="W120">IF(A120="","",IFERROR(INDEX(PARAMETROS!$J$2:$J700,MATCH(H120,PARAMETROS!$E$2:$E700,0)),""))</f>
        <v/>
      </c>
      <c r="X120" s="23" t="str">
        <f t="shared" si="0"/>
        <v/>
      </c>
    </row>
    <row r="121" spans="1:24">
      <c r="A121" s="18"/>
      <c r="B121" s="18"/>
      <c r="C121" s="18"/>
      <c r="D121" s="18"/>
      <c r="E121" s="18"/>
      <c r="F121" s="18"/>
      <c r="G121" s="13"/>
      <c r="H121" s="18"/>
      <c r="I121" s="18"/>
      <c r="J121" s="19"/>
      <c r="K121" s="18"/>
      <c r="L121" s="19"/>
      <c r="M121" s="18"/>
      <c r="N121" s="18"/>
      <c r="O121" s="20"/>
      <c r="P121" s="13"/>
      <c r="Q121" s="21"/>
      <c r="R121" s="21"/>
      <c r="S121" s="21"/>
      <c r="T121" s="13"/>
      <c r="U121" s="13"/>
      <c r="V121" s="22"/>
      <c r="W121" s="22" t="str">
        <f t="array" ref="W121">IF(A121="","",IFERROR(INDEX(PARAMETROS!$J$2:$J700,MATCH(H121,PARAMETROS!$E$2:$E700,0)),""))</f>
        <v/>
      </c>
      <c r="X121" s="23" t="str">
        <f t="shared" si="0"/>
        <v/>
      </c>
    </row>
    <row r="122" spans="1:24">
      <c r="A122" s="18"/>
      <c r="B122" s="18"/>
      <c r="C122" s="18"/>
      <c r="D122" s="18"/>
      <c r="E122" s="18"/>
      <c r="F122" s="18"/>
      <c r="G122" s="13"/>
      <c r="H122" s="18"/>
      <c r="I122" s="18"/>
      <c r="J122" s="19"/>
      <c r="K122" s="18"/>
      <c r="L122" s="19"/>
      <c r="M122" s="18"/>
      <c r="N122" s="18"/>
      <c r="O122" s="20"/>
      <c r="P122" s="13"/>
      <c r="Q122" s="21"/>
      <c r="R122" s="21"/>
      <c r="S122" s="21"/>
      <c r="T122" s="13"/>
      <c r="U122" s="13"/>
      <c r="V122" s="22"/>
      <c r="W122" s="22" t="str">
        <f t="array" ref="W122">IF(A122="","",IFERROR(INDEX(PARAMETROS!$J$2:$J700,MATCH(H122,PARAMETROS!$E$2:$E700,0)),""))</f>
        <v/>
      </c>
      <c r="X122" s="23" t="str">
        <f t="shared" si="0"/>
        <v/>
      </c>
    </row>
    <row r="123" spans="1:24">
      <c r="A123" s="18"/>
      <c r="B123" s="18"/>
      <c r="C123" s="18"/>
      <c r="D123" s="18"/>
      <c r="E123" s="18"/>
      <c r="F123" s="18"/>
      <c r="G123" s="13"/>
      <c r="H123" s="18"/>
      <c r="I123" s="18"/>
      <c r="J123" s="19"/>
      <c r="K123" s="18"/>
      <c r="L123" s="19"/>
      <c r="M123" s="18"/>
      <c r="N123" s="18"/>
      <c r="O123" s="20"/>
      <c r="P123" s="13"/>
      <c r="Q123" s="21"/>
      <c r="R123" s="21"/>
      <c r="S123" s="21"/>
      <c r="T123" s="13"/>
      <c r="U123" s="13"/>
      <c r="V123" s="22"/>
      <c r="W123" s="22" t="str">
        <f t="array" ref="W123">IF(A123="","",IFERROR(INDEX(PARAMETROS!$J$2:$J700,MATCH(H123,PARAMETROS!$E$2:$E700,0)),""))</f>
        <v/>
      </c>
      <c r="X123" s="23" t="str">
        <f t="shared" si="0"/>
        <v/>
      </c>
    </row>
    <row r="124" spans="1:24">
      <c r="A124" s="18"/>
      <c r="B124" s="18"/>
      <c r="C124" s="18"/>
      <c r="D124" s="18"/>
      <c r="E124" s="18"/>
      <c r="F124" s="18"/>
      <c r="G124" s="13"/>
      <c r="H124" s="18"/>
      <c r="I124" s="18"/>
      <c r="J124" s="19"/>
      <c r="K124" s="18"/>
      <c r="L124" s="19"/>
      <c r="M124" s="18"/>
      <c r="N124" s="18"/>
      <c r="O124" s="20"/>
      <c r="P124" s="13"/>
      <c r="Q124" s="21"/>
      <c r="R124" s="21"/>
      <c r="S124" s="21"/>
      <c r="T124" s="13"/>
      <c r="U124" s="13"/>
      <c r="V124" s="22"/>
      <c r="W124" s="22" t="str">
        <f t="array" ref="W124">IF(A124="","",IFERROR(INDEX(PARAMETROS!$J$2:$J700,MATCH(H124,PARAMETROS!$E$2:$E700,0)),""))</f>
        <v/>
      </c>
      <c r="X124" s="23" t="str">
        <f t="shared" si="0"/>
        <v/>
      </c>
    </row>
    <row r="125" spans="1:24">
      <c r="A125" s="18"/>
      <c r="B125" s="18"/>
      <c r="C125" s="18"/>
      <c r="D125" s="18"/>
      <c r="E125" s="18"/>
      <c r="F125" s="18"/>
      <c r="G125" s="13"/>
      <c r="H125" s="18"/>
      <c r="I125" s="18"/>
      <c r="J125" s="19"/>
      <c r="K125" s="18"/>
      <c r="L125" s="19"/>
      <c r="M125" s="18"/>
      <c r="N125" s="18"/>
      <c r="O125" s="20"/>
      <c r="P125" s="13"/>
      <c r="Q125" s="21"/>
      <c r="R125" s="21"/>
      <c r="S125" s="21"/>
      <c r="T125" s="13"/>
      <c r="U125" s="13"/>
      <c r="V125" s="22"/>
      <c r="W125" s="22" t="str">
        <f t="array" ref="W125">IF(A125="","",IFERROR(INDEX(PARAMETROS!$J$2:$J700,MATCH(H125,PARAMETROS!$E$2:$E700,0)),""))</f>
        <v/>
      </c>
      <c r="X125" s="23" t="str">
        <f t="shared" si="0"/>
        <v/>
      </c>
    </row>
    <row r="126" spans="1:24">
      <c r="A126" s="18"/>
      <c r="B126" s="18"/>
      <c r="C126" s="18"/>
      <c r="D126" s="18"/>
      <c r="E126" s="18"/>
      <c r="F126" s="18"/>
      <c r="G126" s="13"/>
      <c r="H126" s="18"/>
      <c r="I126" s="18"/>
      <c r="J126" s="19"/>
      <c r="K126" s="18"/>
      <c r="L126" s="19"/>
      <c r="M126" s="18"/>
      <c r="N126" s="18"/>
      <c r="O126" s="20"/>
      <c r="P126" s="13"/>
      <c r="Q126" s="21"/>
      <c r="R126" s="21"/>
      <c r="S126" s="21"/>
      <c r="T126" s="13"/>
      <c r="U126" s="13"/>
      <c r="V126" s="22"/>
      <c r="W126" s="22" t="str">
        <f t="array" ref="W126">IF(A126="","",IFERROR(INDEX(PARAMETROS!$J$2:$J700,MATCH(H126,PARAMETROS!$E$2:$E700,0)),""))</f>
        <v/>
      </c>
      <c r="X126" s="23" t="str">
        <f t="shared" si="0"/>
        <v/>
      </c>
    </row>
    <row r="127" spans="1:24">
      <c r="A127" s="18"/>
      <c r="B127" s="18"/>
      <c r="C127" s="18"/>
      <c r="D127" s="18"/>
      <c r="E127" s="18"/>
      <c r="F127" s="18"/>
      <c r="G127" s="13"/>
      <c r="H127" s="18"/>
      <c r="I127" s="18"/>
      <c r="J127" s="19"/>
      <c r="K127" s="18"/>
      <c r="L127" s="19"/>
      <c r="M127" s="18"/>
      <c r="N127" s="18"/>
      <c r="O127" s="20"/>
      <c r="P127" s="13"/>
      <c r="Q127" s="21"/>
      <c r="R127" s="21"/>
      <c r="S127" s="21"/>
      <c r="T127" s="13"/>
      <c r="U127" s="13"/>
      <c r="V127" s="22"/>
      <c r="W127" s="22" t="str">
        <f t="array" ref="W127">IF(A127="","",IFERROR(INDEX(PARAMETROS!$J$2:$J700,MATCH(H127,PARAMETROS!$E$2:$E700,0)),""))</f>
        <v/>
      </c>
      <c r="X127" s="23" t="str">
        <f t="shared" si="0"/>
        <v/>
      </c>
    </row>
    <row r="128" spans="1:24">
      <c r="A128" s="18"/>
      <c r="B128" s="18"/>
      <c r="C128" s="18"/>
      <c r="D128" s="18"/>
      <c r="E128" s="18"/>
      <c r="F128" s="18"/>
      <c r="G128" s="13"/>
      <c r="H128" s="18"/>
      <c r="I128" s="18"/>
      <c r="J128" s="19"/>
      <c r="K128" s="18"/>
      <c r="L128" s="19"/>
      <c r="M128" s="18"/>
      <c r="N128" s="18"/>
      <c r="O128" s="20"/>
      <c r="P128" s="13"/>
      <c r="Q128" s="21"/>
      <c r="R128" s="21"/>
      <c r="S128" s="21"/>
      <c r="T128" s="13"/>
      <c r="U128" s="13"/>
      <c r="V128" s="22"/>
      <c r="W128" s="22" t="str">
        <f t="array" ref="W128">IF(A128="","",IFERROR(INDEX(PARAMETROS!$J$2:$J700,MATCH(H128,PARAMETROS!$E$2:$E700,0)),""))</f>
        <v/>
      </c>
      <c r="X128" s="23" t="str">
        <f t="shared" si="0"/>
        <v/>
      </c>
    </row>
    <row r="129" spans="1:24">
      <c r="A129" s="18"/>
      <c r="B129" s="18"/>
      <c r="C129" s="18"/>
      <c r="D129" s="18"/>
      <c r="E129" s="18"/>
      <c r="F129" s="18"/>
      <c r="G129" s="13"/>
      <c r="H129" s="18"/>
      <c r="I129" s="18"/>
      <c r="J129" s="19"/>
      <c r="K129" s="18"/>
      <c r="L129" s="19"/>
      <c r="M129" s="18"/>
      <c r="N129" s="18"/>
      <c r="O129" s="20"/>
      <c r="P129" s="13"/>
      <c r="Q129" s="21"/>
      <c r="R129" s="21"/>
      <c r="S129" s="21"/>
      <c r="T129" s="13"/>
      <c r="U129" s="13"/>
      <c r="V129" s="22"/>
      <c r="W129" s="22" t="str">
        <f t="array" ref="W129">IF(A129="","",IFERROR(INDEX(PARAMETROS!$J$2:$J700,MATCH(H129,PARAMETROS!$E$2:$E700,0)),""))</f>
        <v/>
      </c>
      <c r="X129" s="23" t="str">
        <f t="shared" si="0"/>
        <v/>
      </c>
    </row>
    <row r="130" spans="1:24">
      <c r="A130" s="18"/>
      <c r="B130" s="18"/>
      <c r="C130" s="18"/>
      <c r="D130" s="18"/>
      <c r="E130" s="18"/>
      <c r="F130" s="18"/>
      <c r="G130" s="13"/>
      <c r="H130" s="18"/>
      <c r="I130" s="18"/>
      <c r="J130" s="19"/>
      <c r="K130" s="18"/>
      <c r="L130" s="19"/>
      <c r="M130" s="18"/>
      <c r="N130" s="18"/>
      <c r="O130" s="20"/>
      <c r="P130" s="13"/>
      <c r="Q130" s="21"/>
      <c r="R130" s="21"/>
      <c r="S130" s="21"/>
      <c r="T130" s="13"/>
      <c r="U130" s="13"/>
      <c r="V130" s="22"/>
      <c r="W130" s="22" t="str">
        <f t="array" ref="W130">IF(A130="","",IFERROR(INDEX(PARAMETROS!$J$2:$J700,MATCH(H130,PARAMETROS!$E$2:$E700,0)),""))</f>
        <v/>
      </c>
      <c r="X130" s="23" t="str">
        <f t="shared" si="0"/>
        <v/>
      </c>
    </row>
    <row r="131" spans="1:24">
      <c r="A131" s="18"/>
      <c r="B131" s="18"/>
      <c r="C131" s="18"/>
      <c r="D131" s="18"/>
      <c r="E131" s="18"/>
      <c r="F131" s="18"/>
      <c r="G131" s="13"/>
      <c r="H131" s="18"/>
      <c r="I131" s="18"/>
      <c r="J131" s="19"/>
      <c r="K131" s="18"/>
      <c r="L131" s="19"/>
      <c r="M131" s="18"/>
      <c r="N131" s="18"/>
      <c r="O131" s="20"/>
      <c r="P131" s="13"/>
      <c r="Q131" s="21"/>
      <c r="R131" s="21"/>
      <c r="S131" s="21"/>
      <c r="T131" s="13"/>
      <c r="U131" s="13"/>
      <c r="V131" s="22"/>
      <c r="W131" s="22" t="str">
        <f t="array" ref="W131">IF(A131="","",IFERROR(INDEX(PARAMETROS!$J$2:$J700,MATCH(H131,PARAMETROS!$E$2:$E700,0)),""))</f>
        <v/>
      </c>
      <c r="X131" s="23" t="str">
        <f t="shared" si="0"/>
        <v/>
      </c>
    </row>
    <row r="132" spans="1:24">
      <c r="A132" s="18"/>
      <c r="B132" s="18"/>
      <c r="C132" s="18"/>
      <c r="D132" s="18"/>
      <c r="E132" s="18"/>
      <c r="F132" s="18"/>
      <c r="G132" s="13"/>
      <c r="H132" s="18"/>
      <c r="I132" s="18"/>
      <c r="J132" s="19"/>
      <c r="K132" s="18"/>
      <c r="L132" s="19"/>
      <c r="M132" s="18"/>
      <c r="N132" s="18"/>
      <c r="O132" s="20"/>
      <c r="P132" s="13"/>
      <c r="Q132" s="21"/>
      <c r="R132" s="21"/>
      <c r="S132" s="21"/>
      <c r="T132" s="13"/>
      <c r="U132" s="13"/>
      <c r="V132" s="22"/>
      <c r="W132" s="22" t="str">
        <f t="array" ref="W132">IF(A132="","",IFERROR(INDEX(PARAMETROS!$J$2:$J700,MATCH(H132,PARAMETROS!$E$2:$E700,0)),""))</f>
        <v/>
      </c>
      <c r="X132" s="23" t="str">
        <f t="shared" si="0"/>
        <v/>
      </c>
    </row>
    <row r="133" spans="1:24">
      <c r="A133" s="18"/>
      <c r="B133" s="18"/>
      <c r="C133" s="18"/>
      <c r="D133" s="18"/>
      <c r="E133" s="18"/>
      <c r="F133" s="18"/>
      <c r="G133" s="13"/>
      <c r="H133" s="18"/>
      <c r="I133" s="18"/>
      <c r="J133" s="19"/>
      <c r="K133" s="18"/>
      <c r="L133" s="19"/>
      <c r="M133" s="18"/>
      <c r="N133" s="18"/>
      <c r="O133" s="20"/>
      <c r="P133" s="13"/>
      <c r="Q133" s="21"/>
      <c r="R133" s="21"/>
      <c r="S133" s="21"/>
      <c r="T133" s="13"/>
      <c r="U133" s="13"/>
      <c r="V133" s="22"/>
      <c r="W133" s="22" t="str">
        <f t="array" ref="W133">IF(A133="","",IFERROR(INDEX(PARAMETROS!$J$2:$J700,MATCH(H133,PARAMETROS!$E$2:$E700,0)),""))</f>
        <v/>
      </c>
      <c r="X133" s="23" t="str">
        <f t="shared" si="0"/>
        <v/>
      </c>
    </row>
    <row r="134" spans="1:24">
      <c r="A134" s="18"/>
      <c r="B134" s="18"/>
      <c r="C134" s="18"/>
      <c r="D134" s="18"/>
      <c r="E134" s="18"/>
      <c r="F134" s="18"/>
      <c r="G134" s="13"/>
      <c r="H134" s="18"/>
      <c r="I134" s="18"/>
      <c r="J134" s="19"/>
      <c r="K134" s="18"/>
      <c r="L134" s="19"/>
      <c r="M134" s="18"/>
      <c r="N134" s="18"/>
      <c r="O134" s="20"/>
      <c r="P134" s="13"/>
      <c r="Q134" s="21"/>
      <c r="R134" s="21"/>
      <c r="S134" s="21"/>
      <c r="T134" s="13"/>
      <c r="U134" s="13"/>
      <c r="V134" s="22"/>
      <c r="W134" s="22" t="str">
        <f t="array" ref="W134">IF(A134="","",IFERROR(INDEX(PARAMETROS!$J$2:$J700,MATCH(H134,PARAMETROS!$E$2:$E700,0)),""))</f>
        <v/>
      </c>
      <c r="X134" s="23" t="str">
        <f t="shared" si="0"/>
        <v/>
      </c>
    </row>
    <row r="135" spans="1:24">
      <c r="A135" s="18"/>
      <c r="B135" s="18"/>
      <c r="C135" s="18"/>
      <c r="D135" s="18"/>
      <c r="E135" s="18"/>
      <c r="F135" s="18"/>
      <c r="G135" s="13"/>
      <c r="H135" s="18"/>
      <c r="I135" s="18"/>
      <c r="J135" s="19"/>
      <c r="K135" s="18"/>
      <c r="L135" s="19"/>
      <c r="M135" s="18"/>
      <c r="N135" s="18"/>
      <c r="O135" s="20"/>
      <c r="P135" s="13"/>
      <c r="Q135" s="21"/>
      <c r="R135" s="21"/>
      <c r="S135" s="21"/>
      <c r="T135" s="13"/>
      <c r="U135" s="13"/>
      <c r="V135" s="22"/>
      <c r="W135" s="22" t="str">
        <f t="array" ref="W135">IF(A135="","",IFERROR(INDEX(PARAMETROS!$J$2:$J700,MATCH(H135,PARAMETROS!$E$2:$E700,0)),""))</f>
        <v/>
      </c>
      <c r="X135" s="23" t="str">
        <f t="shared" si="0"/>
        <v/>
      </c>
    </row>
    <row r="136" spans="1:24">
      <c r="A136" s="18"/>
      <c r="B136" s="18"/>
      <c r="C136" s="18"/>
      <c r="D136" s="18"/>
      <c r="E136" s="18"/>
      <c r="F136" s="18"/>
      <c r="G136" s="13"/>
      <c r="H136" s="18"/>
      <c r="I136" s="18"/>
      <c r="J136" s="19"/>
      <c r="K136" s="18"/>
      <c r="L136" s="19"/>
      <c r="M136" s="18"/>
      <c r="N136" s="18"/>
      <c r="O136" s="20"/>
      <c r="P136" s="13"/>
      <c r="Q136" s="21"/>
      <c r="R136" s="21"/>
      <c r="S136" s="21"/>
      <c r="T136" s="13"/>
      <c r="U136" s="13"/>
      <c r="V136" s="22"/>
      <c r="W136" s="22" t="str">
        <f t="array" ref="W136">IF(A136="","",IFERROR(INDEX(PARAMETROS!$J$2:$J700,MATCH(H136,PARAMETROS!$E$2:$E700,0)),""))</f>
        <v/>
      </c>
      <c r="X136" s="23" t="str">
        <f t="shared" si="0"/>
        <v/>
      </c>
    </row>
    <row r="137" spans="1:24">
      <c r="A137" s="18"/>
      <c r="B137" s="18"/>
      <c r="C137" s="18"/>
      <c r="D137" s="18"/>
      <c r="E137" s="18"/>
      <c r="F137" s="18"/>
      <c r="G137" s="13"/>
      <c r="H137" s="18"/>
      <c r="I137" s="18"/>
      <c r="J137" s="19"/>
      <c r="K137" s="18"/>
      <c r="L137" s="19"/>
      <c r="M137" s="18"/>
      <c r="N137" s="18"/>
      <c r="O137" s="20"/>
      <c r="P137" s="13"/>
      <c r="Q137" s="21"/>
      <c r="R137" s="21"/>
      <c r="S137" s="21"/>
      <c r="T137" s="13"/>
      <c r="U137" s="13"/>
      <c r="V137" s="22"/>
      <c r="W137" s="22" t="str">
        <f t="array" ref="W137">IF(A137="","",IFERROR(INDEX(PARAMETROS!$J$2:$J700,MATCH(H137,PARAMETROS!$E$2:$E700,0)),""))</f>
        <v/>
      </c>
      <c r="X137" s="23" t="str">
        <f t="shared" si="0"/>
        <v/>
      </c>
    </row>
    <row r="138" spans="1:24">
      <c r="A138" s="18"/>
      <c r="B138" s="18"/>
      <c r="C138" s="18"/>
      <c r="D138" s="18"/>
      <c r="E138" s="18"/>
      <c r="F138" s="18"/>
      <c r="G138" s="13"/>
      <c r="H138" s="18"/>
      <c r="I138" s="18"/>
      <c r="J138" s="19"/>
      <c r="K138" s="18"/>
      <c r="L138" s="19"/>
      <c r="M138" s="18"/>
      <c r="N138" s="18"/>
      <c r="O138" s="20"/>
      <c r="P138" s="13"/>
      <c r="Q138" s="21"/>
      <c r="R138" s="21"/>
      <c r="S138" s="21"/>
      <c r="T138" s="13"/>
      <c r="U138" s="13"/>
      <c r="V138" s="22"/>
      <c r="W138" s="22" t="str">
        <f t="array" ref="W138">IF(A138="","",IFERROR(INDEX(PARAMETROS!$J$2:$J700,MATCH(H138,PARAMETROS!$E$2:$E700,0)),""))</f>
        <v/>
      </c>
      <c r="X138" s="23" t="str">
        <f t="shared" si="0"/>
        <v/>
      </c>
    </row>
    <row r="139" spans="1:24">
      <c r="A139" s="18"/>
      <c r="B139" s="18"/>
      <c r="C139" s="18"/>
      <c r="D139" s="18"/>
      <c r="E139" s="18"/>
      <c r="F139" s="18"/>
      <c r="G139" s="13"/>
      <c r="H139" s="18"/>
      <c r="I139" s="18"/>
      <c r="J139" s="19"/>
      <c r="K139" s="18"/>
      <c r="L139" s="19"/>
      <c r="M139" s="18"/>
      <c r="N139" s="18"/>
      <c r="O139" s="20"/>
      <c r="P139" s="13"/>
      <c r="Q139" s="21"/>
      <c r="R139" s="21"/>
      <c r="S139" s="21"/>
      <c r="T139" s="13"/>
      <c r="U139" s="13"/>
      <c r="V139" s="22"/>
      <c r="W139" s="22" t="str">
        <f t="array" ref="W139">IF(A139="","",IFERROR(INDEX(PARAMETROS!$J$2:$J700,MATCH(H139,PARAMETROS!$E$2:$E700,0)),""))</f>
        <v/>
      </c>
      <c r="X139" s="23" t="str">
        <f t="shared" si="0"/>
        <v/>
      </c>
    </row>
    <row r="140" spans="1:24">
      <c r="A140" s="18"/>
      <c r="B140" s="18"/>
      <c r="C140" s="18"/>
      <c r="D140" s="18"/>
      <c r="E140" s="18"/>
      <c r="F140" s="18"/>
      <c r="G140" s="13"/>
      <c r="H140" s="18"/>
      <c r="I140" s="18"/>
      <c r="J140" s="19"/>
      <c r="K140" s="18"/>
      <c r="L140" s="19"/>
      <c r="M140" s="18"/>
      <c r="N140" s="18"/>
      <c r="O140" s="20"/>
      <c r="P140" s="13"/>
      <c r="Q140" s="21"/>
      <c r="R140" s="21"/>
      <c r="S140" s="21"/>
      <c r="T140" s="13"/>
      <c r="U140" s="13"/>
      <c r="V140" s="22"/>
      <c r="W140" s="22" t="str">
        <f t="array" ref="W140">IF(A140="","",IFERROR(INDEX(PARAMETROS!$J$2:$J700,MATCH(H140,PARAMETROS!$E$2:$E700,0)),""))</f>
        <v/>
      </c>
      <c r="X140" s="23" t="str">
        <f t="shared" si="0"/>
        <v/>
      </c>
    </row>
    <row r="141" spans="1:24">
      <c r="A141" s="18"/>
      <c r="B141" s="18"/>
      <c r="C141" s="18"/>
      <c r="D141" s="18"/>
      <c r="E141" s="18"/>
      <c r="F141" s="18"/>
      <c r="G141" s="13"/>
      <c r="H141" s="18"/>
      <c r="I141" s="18"/>
      <c r="J141" s="19"/>
      <c r="K141" s="18"/>
      <c r="L141" s="19"/>
      <c r="M141" s="18"/>
      <c r="N141" s="18"/>
      <c r="O141" s="20"/>
      <c r="P141" s="13"/>
      <c r="Q141" s="21"/>
      <c r="R141" s="21"/>
      <c r="S141" s="21"/>
      <c r="T141" s="13"/>
      <c r="U141" s="13"/>
      <c r="V141" s="22"/>
      <c r="W141" s="22" t="str">
        <f t="array" ref="W141">IF(A141="","",IFERROR(INDEX(PARAMETROS!$J$2:$J700,MATCH(H141,PARAMETROS!$E$2:$E700,0)),""))</f>
        <v/>
      </c>
      <c r="X141" s="23" t="str">
        <f t="shared" si="0"/>
        <v/>
      </c>
    </row>
    <row r="142" spans="1:24">
      <c r="A142" s="18"/>
      <c r="B142" s="18"/>
      <c r="C142" s="18"/>
      <c r="D142" s="18"/>
      <c r="E142" s="18"/>
      <c r="F142" s="18"/>
      <c r="G142" s="13"/>
      <c r="H142" s="18"/>
      <c r="I142" s="18"/>
      <c r="J142" s="19"/>
      <c r="K142" s="18"/>
      <c r="L142" s="19"/>
      <c r="M142" s="18"/>
      <c r="N142" s="18"/>
      <c r="O142" s="20"/>
      <c r="P142" s="13"/>
      <c r="Q142" s="21"/>
      <c r="R142" s="21"/>
      <c r="S142" s="21"/>
      <c r="T142" s="13"/>
      <c r="U142" s="13"/>
      <c r="V142" s="22"/>
      <c r="W142" s="22" t="str">
        <f t="array" ref="W142">IF(A142="","",IFERROR(INDEX(PARAMETROS!$J$2:$J700,MATCH(H142,PARAMETROS!$E$2:$E700,0)),""))</f>
        <v/>
      </c>
      <c r="X142" s="23" t="str">
        <f t="shared" si="0"/>
        <v/>
      </c>
    </row>
    <row r="143" spans="1:24">
      <c r="A143" s="18"/>
      <c r="B143" s="18"/>
      <c r="C143" s="18"/>
      <c r="D143" s="18"/>
      <c r="E143" s="18"/>
      <c r="F143" s="18"/>
      <c r="G143" s="13"/>
      <c r="H143" s="18"/>
      <c r="I143" s="18"/>
      <c r="J143" s="19"/>
      <c r="K143" s="18"/>
      <c r="L143" s="19"/>
      <c r="M143" s="18"/>
      <c r="N143" s="18"/>
      <c r="O143" s="20"/>
      <c r="P143" s="13"/>
      <c r="Q143" s="21"/>
      <c r="R143" s="21"/>
      <c r="S143" s="21"/>
      <c r="T143" s="13"/>
      <c r="U143" s="13"/>
      <c r="V143" s="22"/>
      <c r="W143" s="22" t="str">
        <f t="array" ref="W143">IF(A143="","",IFERROR(INDEX(PARAMETROS!$J$2:$J700,MATCH(H143,PARAMETROS!$E$2:$E700,0)),""))</f>
        <v/>
      </c>
      <c r="X143" s="23" t="str">
        <f t="shared" si="0"/>
        <v/>
      </c>
    </row>
    <row r="144" spans="1:24">
      <c r="A144" s="18"/>
      <c r="B144" s="18"/>
      <c r="C144" s="18"/>
      <c r="D144" s="18"/>
      <c r="E144" s="18"/>
      <c r="F144" s="18"/>
      <c r="G144" s="13"/>
      <c r="H144" s="18"/>
      <c r="I144" s="18"/>
      <c r="J144" s="19"/>
      <c r="K144" s="18"/>
      <c r="L144" s="19"/>
      <c r="M144" s="18"/>
      <c r="N144" s="18"/>
      <c r="O144" s="20"/>
      <c r="P144" s="13"/>
      <c r="Q144" s="21"/>
      <c r="R144" s="21"/>
      <c r="S144" s="21"/>
      <c r="T144" s="13"/>
      <c r="U144" s="13"/>
      <c r="V144" s="22"/>
      <c r="W144" s="22" t="str">
        <f t="array" ref="W144">IF(A144="","",IFERROR(INDEX(PARAMETROS!$J$2:$J700,MATCH(H144,PARAMETROS!$E$2:$E700,0)),""))</f>
        <v/>
      </c>
      <c r="X144" s="23" t="str">
        <f t="shared" si="0"/>
        <v/>
      </c>
    </row>
    <row r="145" spans="1:24">
      <c r="A145" s="18"/>
      <c r="B145" s="18"/>
      <c r="C145" s="18"/>
      <c r="D145" s="18"/>
      <c r="E145" s="18"/>
      <c r="F145" s="18"/>
      <c r="G145" s="13"/>
      <c r="H145" s="18"/>
      <c r="I145" s="18"/>
      <c r="J145" s="19"/>
      <c r="K145" s="18"/>
      <c r="L145" s="19"/>
      <c r="M145" s="18"/>
      <c r="N145" s="18"/>
      <c r="O145" s="20"/>
      <c r="P145" s="13"/>
      <c r="Q145" s="21"/>
      <c r="R145" s="21"/>
      <c r="S145" s="21"/>
      <c r="T145" s="13"/>
      <c r="U145" s="13"/>
      <c r="V145" s="22"/>
      <c r="W145" s="22" t="str">
        <f t="array" ref="W145">IF(A145="","",IFERROR(INDEX(PARAMETROS!$J$2:$J700,MATCH(H145,PARAMETROS!$E$2:$E700,0)),""))</f>
        <v/>
      </c>
      <c r="X145" s="23" t="str">
        <f t="shared" si="0"/>
        <v/>
      </c>
    </row>
    <row r="146" spans="1:24">
      <c r="A146" s="18"/>
      <c r="B146" s="18"/>
      <c r="C146" s="18"/>
      <c r="D146" s="18"/>
      <c r="E146" s="18"/>
      <c r="F146" s="18"/>
      <c r="G146" s="13"/>
      <c r="H146" s="18"/>
      <c r="I146" s="18"/>
      <c r="J146" s="19"/>
      <c r="K146" s="18"/>
      <c r="L146" s="19"/>
      <c r="M146" s="18"/>
      <c r="N146" s="18"/>
      <c r="O146" s="20"/>
      <c r="P146" s="13"/>
      <c r="Q146" s="21"/>
      <c r="R146" s="21"/>
      <c r="S146" s="21"/>
      <c r="T146" s="13"/>
      <c r="U146" s="13"/>
      <c r="V146" s="22"/>
      <c r="W146" s="22" t="str">
        <f t="array" ref="W146">IF(A146="","",IFERROR(INDEX(PARAMETROS!$J$2:$J700,MATCH(H146,PARAMETROS!$E$2:$E700,0)),""))</f>
        <v/>
      </c>
      <c r="X146" s="23" t="str">
        <f t="shared" si="0"/>
        <v/>
      </c>
    </row>
    <row r="147" spans="1:24">
      <c r="A147" s="18"/>
      <c r="B147" s="18"/>
      <c r="C147" s="18"/>
      <c r="D147" s="18"/>
      <c r="E147" s="18"/>
      <c r="F147" s="18"/>
      <c r="G147" s="13"/>
      <c r="H147" s="18"/>
      <c r="I147" s="18"/>
      <c r="J147" s="19"/>
      <c r="K147" s="18"/>
      <c r="L147" s="19"/>
      <c r="M147" s="18"/>
      <c r="N147" s="18"/>
      <c r="O147" s="20"/>
      <c r="P147" s="13"/>
      <c r="Q147" s="21"/>
      <c r="R147" s="21"/>
      <c r="S147" s="21"/>
      <c r="T147" s="13"/>
      <c r="U147" s="13"/>
      <c r="V147" s="22"/>
      <c r="W147" s="22" t="str">
        <f t="array" ref="W147">IF(A147="","",IFERROR(INDEX(PARAMETROS!$J$2:$J700,MATCH(H147,PARAMETROS!$E$2:$E700,0)),""))</f>
        <v/>
      </c>
      <c r="X147" s="23" t="str">
        <f t="shared" si="0"/>
        <v/>
      </c>
    </row>
    <row r="148" spans="1:24">
      <c r="A148" s="18"/>
      <c r="B148" s="18"/>
      <c r="C148" s="18"/>
      <c r="D148" s="18"/>
      <c r="E148" s="18"/>
      <c r="F148" s="18"/>
      <c r="G148" s="13"/>
      <c r="H148" s="18"/>
      <c r="I148" s="18"/>
      <c r="J148" s="19"/>
      <c r="K148" s="18"/>
      <c r="L148" s="19"/>
      <c r="M148" s="18"/>
      <c r="N148" s="18"/>
      <c r="O148" s="20"/>
      <c r="P148" s="13"/>
      <c r="Q148" s="21"/>
      <c r="R148" s="21"/>
      <c r="S148" s="21"/>
      <c r="T148" s="13"/>
      <c r="U148" s="13"/>
      <c r="V148" s="22"/>
      <c r="W148" s="22" t="str">
        <f t="array" ref="W148">IF(A148="","",IFERROR(INDEX(PARAMETROS!$J$2:$J700,MATCH(H148,PARAMETROS!$E$2:$E700,0)),""))</f>
        <v/>
      </c>
      <c r="X148" s="23" t="str">
        <f t="shared" si="0"/>
        <v/>
      </c>
    </row>
    <row r="149" spans="1:24">
      <c r="A149" s="18"/>
      <c r="B149" s="18"/>
      <c r="C149" s="18"/>
      <c r="D149" s="18"/>
      <c r="E149" s="18"/>
      <c r="F149" s="18"/>
      <c r="G149" s="13"/>
      <c r="H149" s="18"/>
      <c r="I149" s="18"/>
      <c r="J149" s="19"/>
      <c r="K149" s="18"/>
      <c r="L149" s="19"/>
      <c r="M149" s="18"/>
      <c r="N149" s="18"/>
      <c r="O149" s="20"/>
      <c r="P149" s="13"/>
      <c r="Q149" s="21"/>
      <c r="R149" s="21"/>
      <c r="S149" s="21"/>
      <c r="T149" s="13"/>
      <c r="U149" s="13"/>
      <c r="V149" s="22"/>
      <c r="W149" s="22" t="str">
        <f t="array" ref="W149">IF(A149="","",IFERROR(INDEX(PARAMETROS!$J$2:$J700,MATCH(H149,PARAMETROS!$E$2:$E700,0)),""))</f>
        <v/>
      </c>
      <c r="X149" s="23" t="str">
        <f t="shared" si="0"/>
        <v/>
      </c>
    </row>
    <row r="150" spans="1:24">
      <c r="A150" s="18"/>
      <c r="B150" s="18"/>
      <c r="C150" s="18"/>
      <c r="D150" s="18"/>
      <c r="E150" s="18"/>
      <c r="F150" s="18"/>
      <c r="G150" s="13"/>
      <c r="H150" s="18"/>
      <c r="I150" s="18"/>
      <c r="J150" s="19"/>
      <c r="K150" s="18"/>
      <c r="L150" s="19"/>
      <c r="M150" s="18"/>
      <c r="N150" s="18"/>
      <c r="O150" s="20"/>
      <c r="P150" s="13"/>
      <c r="Q150" s="21"/>
      <c r="R150" s="21"/>
      <c r="S150" s="21"/>
      <c r="T150" s="13"/>
      <c r="U150" s="13"/>
      <c r="V150" s="22"/>
      <c r="W150" s="22" t="str">
        <f t="array" ref="W150">IF(A150="","",IFERROR(INDEX(PARAMETROS!$J$2:$J700,MATCH(H150,PARAMETROS!$E$2:$E700,0)),""))</f>
        <v/>
      </c>
      <c r="X150" s="23" t="str">
        <f t="shared" si="0"/>
        <v/>
      </c>
    </row>
    <row r="151" spans="1:24">
      <c r="A151" s="18"/>
      <c r="B151" s="18"/>
      <c r="C151" s="18"/>
      <c r="D151" s="18"/>
      <c r="E151" s="18"/>
      <c r="F151" s="18"/>
      <c r="G151" s="13"/>
      <c r="H151" s="18"/>
      <c r="I151" s="18"/>
      <c r="J151" s="19"/>
      <c r="K151" s="18"/>
      <c r="L151" s="19"/>
      <c r="M151" s="18"/>
      <c r="N151" s="18"/>
      <c r="O151" s="20"/>
      <c r="P151" s="13"/>
      <c r="Q151" s="21"/>
      <c r="R151" s="21"/>
      <c r="S151" s="21"/>
      <c r="T151" s="13"/>
      <c r="U151" s="13"/>
      <c r="V151" s="22"/>
      <c r="W151" s="22" t="str">
        <f t="array" ref="W151">IF(A151="","",IFERROR(INDEX(PARAMETROS!$J$2:$J700,MATCH(H151,PARAMETROS!$E$2:$E700,0)),""))</f>
        <v/>
      </c>
      <c r="X151" s="23" t="str">
        <f t="shared" si="0"/>
        <v/>
      </c>
    </row>
    <row r="152" spans="1:24">
      <c r="A152" s="18"/>
      <c r="B152" s="18"/>
      <c r="C152" s="18"/>
      <c r="D152" s="18"/>
      <c r="E152" s="18"/>
      <c r="F152" s="18"/>
      <c r="G152" s="13"/>
      <c r="H152" s="18"/>
      <c r="I152" s="18"/>
      <c r="J152" s="19"/>
      <c r="K152" s="18"/>
      <c r="L152" s="19"/>
      <c r="M152" s="18"/>
      <c r="N152" s="18"/>
      <c r="O152" s="20"/>
      <c r="P152" s="13"/>
      <c r="Q152" s="21"/>
      <c r="R152" s="21"/>
      <c r="S152" s="21"/>
      <c r="T152" s="13"/>
      <c r="U152" s="13"/>
      <c r="V152" s="22"/>
      <c r="W152" s="22" t="str">
        <f t="array" ref="W152">IF(A152="","",IFERROR(INDEX(PARAMETROS!$J$2:$J700,MATCH(H152,PARAMETROS!$E$2:$E700,0)),""))</f>
        <v/>
      </c>
      <c r="X152" s="23" t="str">
        <f t="shared" si="0"/>
        <v/>
      </c>
    </row>
    <row r="153" spans="1:24">
      <c r="A153" s="18"/>
      <c r="B153" s="18"/>
      <c r="C153" s="18"/>
      <c r="D153" s="18"/>
      <c r="E153" s="18"/>
      <c r="F153" s="18"/>
      <c r="G153" s="13"/>
      <c r="H153" s="18"/>
      <c r="I153" s="18"/>
      <c r="J153" s="19"/>
      <c r="K153" s="18"/>
      <c r="L153" s="19"/>
      <c r="M153" s="18"/>
      <c r="N153" s="18"/>
      <c r="O153" s="20"/>
      <c r="P153" s="13"/>
      <c r="Q153" s="21"/>
      <c r="R153" s="21"/>
      <c r="S153" s="21"/>
      <c r="T153" s="13"/>
      <c r="U153" s="13"/>
      <c r="V153" s="22"/>
      <c r="W153" s="22" t="str">
        <f t="array" ref="W153">IF(A153="","",IFERROR(INDEX(PARAMETROS!$J$2:$J700,MATCH(H153,PARAMETROS!$E$2:$E700,0)),""))</f>
        <v/>
      </c>
      <c r="X153" s="23" t="str">
        <f t="shared" si="0"/>
        <v/>
      </c>
    </row>
    <row r="154" spans="1:24">
      <c r="A154" s="18"/>
      <c r="B154" s="18"/>
      <c r="C154" s="18"/>
      <c r="D154" s="18"/>
      <c r="E154" s="18"/>
      <c r="F154" s="18"/>
      <c r="G154" s="13"/>
      <c r="H154" s="18"/>
      <c r="I154" s="18"/>
      <c r="J154" s="19"/>
      <c r="K154" s="18"/>
      <c r="L154" s="19"/>
      <c r="M154" s="18"/>
      <c r="N154" s="18"/>
      <c r="O154" s="20"/>
      <c r="P154" s="13"/>
      <c r="Q154" s="21"/>
      <c r="R154" s="21"/>
      <c r="S154" s="21"/>
      <c r="T154" s="13"/>
      <c r="U154" s="13"/>
      <c r="V154" s="22"/>
      <c r="W154" s="22" t="str">
        <f t="array" ref="W154">IF(A154="","",IFERROR(INDEX(PARAMETROS!$J$2:$J700,MATCH(H154,PARAMETROS!$E$2:$E700,0)),""))</f>
        <v/>
      </c>
      <c r="X154" s="23" t="str">
        <f t="shared" si="0"/>
        <v/>
      </c>
    </row>
    <row r="155" spans="1:24">
      <c r="A155" s="18"/>
      <c r="B155" s="18"/>
      <c r="C155" s="18"/>
      <c r="D155" s="18"/>
      <c r="E155" s="18"/>
      <c r="F155" s="18"/>
      <c r="G155" s="13"/>
      <c r="H155" s="18"/>
      <c r="I155" s="18"/>
      <c r="J155" s="19"/>
      <c r="K155" s="18"/>
      <c r="L155" s="19"/>
      <c r="M155" s="18"/>
      <c r="N155" s="18"/>
      <c r="O155" s="20"/>
      <c r="P155" s="13"/>
      <c r="Q155" s="21"/>
      <c r="R155" s="21"/>
      <c r="S155" s="21"/>
      <c r="T155" s="13"/>
      <c r="U155" s="13"/>
      <c r="V155" s="22"/>
      <c r="W155" s="22" t="str">
        <f t="array" ref="W155">IF(A155="","",IFERROR(INDEX(PARAMETROS!$J$2:$J700,MATCH(H155,PARAMETROS!$E$2:$E700,0)),""))</f>
        <v/>
      </c>
      <c r="X155" s="23" t="str">
        <f t="shared" si="0"/>
        <v/>
      </c>
    </row>
    <row r="156" spans="1:24">
      <c r="A156" s="18"/>
      <c r="B156" s="18"/>
      <c r="C156" s="18"/>
      <c r="D156" s="18"/>
      <c r="E156" s="18"/>
      <c r="F156" s="18"/>
      <c r="G156" s="13"/>
      <c r="H156" s="18"/>
      <c r="I156" s="18"/>
      <c r="J156" s="19"/>
      <c r="K156" s="18"/>
      <c r="L156" s="19"/>
      <c r="M156" s="18"/>
      <c r="N156" s="18"/>
      <c r="O156" s="20"/>
      <c r="P156" s="13"/>
      <c r="Q156" s="21"/>
      <c r="R156" s="21"/>
      <c r="S156" s="21"/>
      <c r="T156" s="13"/>
      <c r="U156" s="13"/>
      <c r="V156" s="22"/>
      <c r="W156" s="22" t="str">
        <f t="array" ref="W156">IF(A156="","",IFERROR(INDEX(PARAMETROS!$J$2:$J700,MATCH(H156,PARAMETROS!$E$2:$E700,0)),""))</f>
        <v/>
      </c>
      <c r="X156" s="23" t="str">
        <f t="shared" si="0"/>
        <v/>
      </c>
    </row>
    <row r="157" spans="1:24">
      <c r="A157" s="18"/>
      <c r="B157" s="18"/>
      <c r="C157" s="18"/>
      <c r="D157" s="18"/>
      <c r="E157" s="18"/>
      <c r="F157" s="18"/>
      <c r="G157" s="13"/>
      <c r="H157" s="18"/>
      <c r="I157" s="18"/>
      <c r="J157" s="19"/>
      <c r="K157" s="18"/>
      <c r="L157" s="19"/>
      <c r="M157" s="18"/>
      <c r="N157" s="18"/>
      <c r="O157" s="20"/>
      <c r="P157" s="13"/>
      <c r="Q157" s="21"/>
      <c r="R157" s="21"/>
      <c r="S157" s="21"/>
      <c r="T157" s="13"/>
      <c r="U157" s="13"/>
      <c r="V157" s="22"/>
      <c r="W157" s="22" t="str">
        <f t="array" ref="W157">IF(A157="","",IFERROR(INDEX(PARAMETROS!$J$2:$J700,MATCH(H157,PARAMETROS!$E$2:$E700,0)),""))</f>
        <v/>
      </c>
      <c r="X157" s="23" t="str">
        <f t="shared" si="0"/>
        <v/>
      </c>
    </row>
    <row r="158" spans="1:24">
      <c r="A158" s="18"/>
      <c r="B158" s="18"/>
      <c r="C158" s="18"/>
      <c r="D158" s="18"/>
      <c r="E158" s="18"/>
      <c r="F158" s="18"/>
      <c r="G158" s="13"/>
      <c r="H158" s="18"/>
      <c r="I158" s="18"/>
      <c r="J158" s="19"/>
      <c r="K158" s="18"/>
      <c r="L158" s="19"/>
      <c r="M158" s="18"/>
      <c r="N158" s="18"/>
      <c r="O158" s="20"/>
      <c r="P158" s="13"/>
      <c r="Q158" s="21"/>
      <c r="R158" s="21"/>
      <c r="S158" s="21"/>
      <c r="T158" s="13"/>
      <c r="U158" s="13"/>
      <c r="V158" s="22"/>
      <c r="W158" s="22" t="str">
        <f t="array" ref="W158">IF(A158="","",IFERROR(INDEX(PARAMETROS!$J$2:$J700,MATCH(H158,PARAMETROS!$E$2:$E700,0)),""))</f>
        <v/>
      </c>
      <c r="X158" s="23" t="str">
        <f t="shared" si="0"/>
        <v/>
      </c>
    </row>
    <row r="159" spans="1:24">
      <c r="A159" s="18"/>
      <c r="B159" s="18"/>
      <c r="C159" s="18"/>
      <c r="D159" s="18"/>
      <c r="E159" s="18"/>
      <c r="F159" s="18"/>
      <c r="G159" s="13"/>
      <c r="H159" s="18"/>
      <c r="I159" s="18"/>
      <c r="J159" s="19"/>
      <c r="K159" s="18"/>
      <c r="L159" s="19"/>
      <c r="M159" s="18"/>
      <c r="N159" s="18"/>
      <c r="O159" s="20"/>
      <c r="P159" s="13"/>
      <c r="Q159" s="21"/>
      <c r="R159" s="21"/>
      <c r="S159" s="21"/>
      <c r="T159" s="13"/>
      <c r="U159" s="13"/>
      <c r="V159" s="22"/>
      <c r="W159" s="22" t="str">
        <f t="array" ref="W159">IF(A159="","",IFERROR(INDEX(PARAMETROS!$J$2:$J700,MATCH(H159,PARAMETROS!$E$2:$E700,0)),""))</f>
        <v/>
      </c>
      <c r="X159" s="23" t="str">
        <f t="shared" si="0"/>
        <v/>
      </c>
    </row>
    <row r="160" spans="1:24">
      <c r="A160" s="18"/>
      <c r="B160" s="18"/>
      <c r="C160" s="18"/>
      <c r="D160" s="18"/>
      <c r="E160" s="18"/>
      <c r="F160" s="18"/>
      <c r="G160" s="13"/>
      <c r="H160" s="18"/>
      <c r="I160" s="18"/>
      <c r="J160" s="19"/>
      <c r="K160" s="18"/>
      <c r="L160" s="19"/>
      <c r="M160" s="18"/>
      <c r="N160" s="18"/>
      <c r="O160" s="20"/>
      <c r="P160" s="13"/>
      <c r="Q160" s="21"/>
      <c r="R160" s="21"/>
      <c r="S160" s="21"/>
      <c r="T160" s="13"/>
      <c r="U160" s="13"/>
      <c r="V160" s="22"/>
      <c r="W160" s="22" t="str">
        <f t="array" ref="W160">IF(A160="","",IFERROR(INDEX(PARAMETROS!$J$2:$J700,MATCH(H160,PARAMETROS!$E$2:$E700,0)),""))</f>
        <v/>
      </c>
      <c r="X160" s="23" t="str">
        <f t="shared" si="0"/>
        <v/>
      </c>
    </row>
    <row r="161" spans="1:24">
      <c r="A161" s="18"/>
      <c r="B161" s="18"/>
      <c r="C161" s="18"/>
      <c r="D161" s="18"/>
      <c r="E161" s="18"/>
      <c r="F161" s="18"/>
      <c r="G161" s="13"/>
      <c r="H161" s="18"/>
      <c r="I161" s="18"/>
      <c r="J161" s="19"/>
      <c r="K161" s="18"/>
      <c r="L161" s="19"/>
      <c r="M161" s="18"/>
      <c r="N161" s="18"/>
      <c r="O161" s="20"/>
      <c r="P161" s="13"/>
      <c r="Q161" s="21"/>
      <c r="R161" s="21"/>
      <c r="S161" s="21"/>
      <c r="T161" s="13"/>
      <c r="U161" s="13"/>
      <c r="V161" s="22"/>
      <c r="W161" s="22" t="str">
        <f t="array" ref="W161">IF(A161="","",IFERROR(INDEX(PARAMETROS!$J$2:$J700,MATCH(H161,PARAMETROS!$E$2:$E700,0)),""))</f>
        <v/>
      </c>
      <c r="X161" s="23" t="str">
        <f t="shared" si="0"/>
        <v/>
      </c>
    </row>
    <row r="162" spans="1:24">
      <c r="A162" s="18"/>
      <c r="B162" s="18"/>
      <c r="C162" s="18"/>
      <c r="D162" s="18"/>
      <c r="E162" s="18"/>
      <c r="F162" s="18"/>
      <c r="G162" s="13"/>
      <c r="H162" s="18"/>
      <c r="I162" s="18"/>
      <c r="J162" s="19"/>
      <c r="K162" s="18"/>
      <c r="L162" s="19"/>
      <c r="M162" s="18"/>
      <c r="N162" s="18"/>
      <c r="O162" s="20"/>
      <c r="P162" s="13"/>
      <c r="Q162" s="21"/>
      <c r="R162" s="21"/>
      <c r="S162" s="21"/>
      <c r="T162" s="13"/>
      <c r="U162" s="13"/>
      <c r="V162" s="22"/>
      <c r="W162" s="22" t="str">
        <f t="array" ref="W162">IF(A162="","",IFERROR(INDEX(PARAMETROS!$J$2:$J700,MATCH(H162,PARAMETROS!$E$2:$E700,0)),""))</f>
        <v/>
      </c>
      <c r="X162" s="23" t="str">
        <f t="shared" si="0"/>
        <v/>
      </c>
    </row>
    <row r="163" spans="1:24">
      <c r="A163" s="18"/>
      <c r="B163" s="18"/>
      <c r="C163" s="18"/>
      <c r="D163" s="18"/>
      <c r="E163" s="18"/>
      <c r="F163" s="18"/>
      <c r="G163" s="13"/>
      <c r="H163" s="18"/>
      <c r="I163" s="18"/>
      <c r="J163" s="20"/>
      <c r="K163" s="18"/>
      <c r="L163" s="20"/>
      <c r="M163" s="18"/>
      <c r="N163" s="18"/>
      <c r="O163" s="20"/>
      <c r="P163" s="13"/>
      <c r="Q163" s="21"/>
      <c r="R163" s="21"/>
      <c r="S163" s="21"/>
      <c r="T163" s="13"/>
      <c r="U163" s="13"/>
      <c r="V163" s="22"/>
      <c r="W163" s="22" t="str">
        <f t="array" ref="W163">IF(A163="","",IFERROR(INDEX(PARAMETROS!$J$2:$J700,MATCH(H163,PARAMETROS!$E$2:$E700,0)),""))</f>
        <v/>
      </c>
      <c r="X163" s="23" t="str">
        <f t="shared" si="0"/>
        <v/>
      </c>
    </row>
    <row r="164" spans="1:24">
      <c r="A164" s="18"/>
      <c r="B164" s="18"/>
      <c r="C164" s="18"/>
      <c r="D164" s="18"/>
      <c r="E164" s="18"/>
      <c r="F164" s="18"/>
      <c r="G164" s="13"/>
      <c r="H164" s="18"/>
      <c r="I164" s="18"/>
      <c r="J164" s="20"/>
      <c r="K164" s="18"/>
      <c r="L164" s="20"/>
      <c r="M164" s="18"/>
      <c r="N164" s="18"/>
      <c r="O164" s="20"/>
      <c r="P164" s="13"/>
      <c r="Q164" s="21"/>
      <c r="R164" s="21"/>
      <c r="S164" s="21"/>
      <c r="T164" s="13"/>
      <c r="U164" s="13"/>
      <c r="V164" s="22"/>
      <c r="W164" s="22" t="str">
        <f t="array" ref="W164">IF(A164="","",IFERROR(INDEX(PARAMETROS!$J$2:$J700,MATCH(H164,PARAMETROS!$E$2:$E700,0)),""))</f>
        <v/>
      </c>
      <c r="X164" s="23" t="str">
        <f t="shared" si="0"/>
        <v/>
      </c>
    </row>
    <row r="165" spans="1:24">
      <c r="A165" s="18"/>
      <c r="B165" s="18"/>
      <c r="C165" s="18"/>
      <c r="D165" s="18"/>
      <c r="E165" s="18"/>
      <c r="F165" s="18"/>
      <c r="G165" s="13"/>
      <c r="H165" s="18"/>
      <c r="I165" s="18"/>
      <c r="J165" s="19"/>
      <c r="K165" s="18"/>
      <c r="L165" s="19"/>
      <c r="M165" s="18"/>
      <c r="N165" s="18"/>
      <c r="O165" s="20"/>
      <c r="P165" s="13"/>
      <c r="Q165" s="21"/>
      <c r="R165" s="21"/>
      <c r="S165" s="21"/>
      <c r="T165" s="13"/>
      <c r="U165" s="13"/>
      <c r="V165" s="22"/>
      <c r="W165" s="22" t="str">
        <f t="array" ref="W165">IF(A165="","",IFERROR(INDEX(PARAMETROS!$J$2:$J700,MATCH(H165,PARAMETROS!$E$2:$E700,0)),""))</f>
        <v/>
      </c>
      <c r="X165" s="23" t="str">
        <f t="shared" si="0"/>
        <v/>
      </c>
    </row>
    <row r="166" spans="1:24">
      <c r="A166" s="18"/>
      <c r="B166" s="18"/>
      <c r="C166" s="18"/>
      <c r="D166" s="18"/>
      <c r="E166" s="18"/>
      <c r="F166" s="18"/>
      <c r="G166" s="13"/>
      <c r="H166" s="18"/>
      <c r="I166" s="18"/>
      <c r="J166" s="19"/>
      <c r="K166" s="18"/>
      <c r="L166" s="19"/>
      <c r="M166" s="18"/>
      <c r="N166" s="18"/>
      <c r="O166" s="20"/>
      <c r="P166" s="13"/>
      <c r="Q166" s="21"/>
      <c r="R166" s="21"/>
      <c r="S166" s="21"/>
      <c r="T166" s="13"/>
      <c r="U166" s="13"/>
      <c r="V166" s="22"/>
      <c r="W166" s="22" t="str">
        <f t="array" ref="W166">IF(A166="","",IFERROR(INDEX(PARAMETROS!$J$2:$J700,MATCH(H166,PARAMETROS!$E$2:$E700,0)),""))</f>
        <v/>
      </c>
      <c r="X166" s="23" t="str">
        <f t="shared" si="0"/>
        <v/>
      </c>
    </row>
    <row r="167" spans="1:24">
      <c r="A167" s="18"/>
      <c r="B167" s="18"/>
      <c r="C167" s="18"/>
      <c r="D167" s="18"/>
      <c r="E167" s="18"/>
      <c r="F167" s="18"/>
      <c r="G167" s="13"/>
      <c r="H167" s="18"/>
      <c r="I167" s="18"/>
      <c r="J167" s="19"/>
      <c r="K167" s="18"/>
      <c r="L167" s="19"/>
      <c r="M167" s="18"/>
      <c r="N167" s="18"/>
      <c r="O167" s="20"/>
      <c r="P167" s="13"/>
      <c r="Q167" s="21"/>
      <c r="R167" s="21"/>
      <c r="S167" s="21"/>
      <c r="T167" s="13"/>
      <c r="U167" s="13"/>
      <c r="V167" s="22"/>
      <c r="W167" s="22" t="str">
        <f t="array" ref="W167">IF(A167="","",IFERROR(INDEX(PARAMETROS!$J$2:$J700,MATCH(H167,PARAMETROS!$E$2:$E700,0)),""))</f>
        <v/>
      </c>
      <c r="X167" s="23" t="str">
        <f t="shared" si="0"/>
        <v/>
      </c>
    </row>
    <row r="168" spans="1:24">
      <c r="A168" s="12"/>
      <c r="B168" s="12"/>
      <c r="C168" s="12"/>
      <c r="D168" s="12"/>
      <c r="E168" s="12"/>
      <c r="F168" s="12"/>
      <c r="G168" s="13"/>
      <c r="H168" s="12"/>
      <c r="I168" s="12"/>
      <c r="J168" s="14"/>
      <c r="K168" s="12"/>
      <c r="L168" s="14"/>
      <c r="M168" s="12"/>
      <c r="N168" s="12"/>
      <c r="O168" s="14"/>
      <c r="P168" s="12"/>
      <c r="Q168" s="15"/>
      <c r="R168" s="15"/>
      <c r="S168" s="21"/>
      <c r="T168" s="13"/>
      <c r="U168" s="13"/>
      <c r="V168" s="22"/>
      <c r="W168" s="22" t="str">
        <f t="array" ref="W168">IF(A168="","",IFERROR(INDEX(PARAMETROS!$J$2:$J700,MATCH(H168,PARAMETROS!$E$2:$E700,0)),""))</f>
        <v/>
      </c>
      <c r="X168" s="23" t="str">
        <f t="shared" si="0"/>
        <v/>
      </c>
    </row>
    <row r="169" spans="1:24">
      <c r="A169" s="12"/>
      <c r="B169" s="12"/>
      <c r="C169" s="12"/>
      <c r="D169" s="12"/>
      <c r="E169" s="12"/>
      <c r="F169" s="12"/>
      <c r="G169" s="13"/>
      <c r="H169" s="12"/>
      <c r="I169" s="12"/>
      <c r="J169" s="14"/>
      <c r="K169" s="12"/>
      <c r="L169" s="14"/>
      <c r="M169" s="12"/>
      <c r="N169" s="12"/>
      <c r="O169" s="14"/>
      <c r="P169" s="12"/>
      <c r="Q169" s="15"/>
      <c r="R169" s="15"/>
      <c r="S169" s="21"/>
      <c r="T169" s="13"/>
      <c r="U169" s="13"/>
      <c r="V169" s="22"/>
      <c r="W169" s="22" t="str">
        <f t="array" ref="W169">IF(A169="","",IFERROR(INDEX(PARAMETROS!$J$2:$J700,MATCH(H169,PARAMETROS!$E$2:$E700,0)),""))</f>
        <v/>
      </c>
      <c r="X169" s="23" t="str">
        <f t="shared" si="0"/>
        <v/>
      </c>
    </row>
    <row r="170" spans="1:24">
      <c r="A170" s="12"/>
      <c r="B170" s="12"/>
      <c r="C170" s="12"/>
      <c r="D170" s="12"/>
      <c r="E170" s="12"/>
      <c r="F170" s="12"/>
      <c r="G170" s="13"/>
      <c r="H170" s="12"/>
      <c r="I170" s="12"/>
      <c r="J170" s="14"/>
      <c r="K170" s="12"/>
      <c r="L170" s="14"/>
      <c r="M170" s="12"/>
      <c r="N170" s="12"/>
      <c r="O170" s="14"/>
      <c r="P170" s="12"/>
      <c r="Q170" s="15"/>
      <c r="R170" s="15"/>
      <c r="S170" s="21"/>
      <c r="T170" s="13"/>
      <c r="U170" s="13"/>
      <c r="V170" s="22"/>
      <c r="W170" s="22" t="str">
        <f t="array" ref="W170">IF(A170="","",IFERROR(INDEX(PARAMETROS!$J$2:$J700,MATCH(H170,PARAMETROS!$E$2:$E700,0)),""))</f>
        <v/>
      </c>
      <c r="X170" s="23" t="str">
        <f t="shared" si="0"/>
        <v/>
      </c>
    </row>
    <row r="171" spans="1:24">
      <c r="A171" s="12"/>
      <c r="B171" s="12"/>
      <c r="C171" s="12"/>
      <c r="D171" s="12"/>
      <c r="E171" s="12"/>
      <c r="F171" s="12"/>
      <c r="G171" s="13"/>
      <c r="H171" s="12"/>
      <c r="I171" s="12"/>
      <c r="J171" s="14"/>
      <c r="K171" s="12"/>
      <c r="L171" s="14"/>
      <c r="M171" s="12"/>
      <c r="N171" s="12"/>
      <c r="O171" s="24"/>
      <c r="P171" s="12"/>
      <c r="Q171" s="15"/>
      <c r="R171" s="15"/>
      <c r="S171" s="21"/>
      <c r="T171" s="13"/>
      <c r="U171" s="13"/>
      <c r="V171" s="22"/>
      <c r="W171" s="22" t="str">
        <f t="array" ref="W171">IF(A171="","",IFERROR(INDEX(PARAMETROS!$J$2:$J700,MATCH(H171,PARAMETROS!$E$2:$E700,0)),""))</f>
        <v/>
      </c>
      <c r="X171" s="23" t="str">
        <f t="shared" si="0"/>
        <v/>
      </c>
    </row>
    <row r="172" spans="1:24">
      <c r="A172" s="12"/>
      <c r="B172" s="12"/>
      <c r="C172" s="12"/>
      <c r="D172" s="12"/>
      <c r="E172" s="12"/>
      <c r="F172" s="12"/>
      <c r="G172" s="13"/>
      <c r="H172" s="12"/>
      <c r="I172" s="12"/>
      <c r="J172" s="14"/>
      <c r="K172" s="12"/>
      <c r="L172" s="14"/>
      <c r="M172" s="12"/>
      <c r="N172" s="12"/>
      <c r="O172" s="24"/>
      <c r="P172" s="12"/>
      <c r="Q172" s="15"/>
      <c r="R172" s="15"/>
      <c r="S172" s="21"/>
      <c r="T172" s="13"/>
      <c r="U172" s="13"/>
      <c r="V172" s="22"/>
      <c r="W172" s="22" t="str">
        <f t="array" ref="W172">IF(A172="","",IFERROR(INDEX(PARAMETROS!$J$2:$J700,MATCH(H172,PARAMETROS!$E$2:$E700,0)),""))</f>
        <v/>
      </c>
      <c r="X172" s="23" t="str">
        <f t="shared" si="0"/>
        <v/>
      </c>
    </row>
    <row r="173" spans="1:24">
      <c r="A173" s="12"/>
      <c r="B173" s="12"/>
      <c r="C173" s="12"/>
      <c r="D173" s="12"/>
      <c r="E173" s="12"/>
      <c r="F173" s="12"/>
      <c r="G173" s="13"/>
      <c r="H173" s="12"/>
      <c r="I173" s="12"/>
      <c r="J173" s="14"/>
      <c r="K173" s="12"/>
      <c r="L173" s="14"/>
      <c r="M173" s="12"/>
      <c r="N173" s="12"/>
      <c r="O173" s="14"/>
      <c r="P173" s="12"/>
      <c r="Q173" s="15"/>
      <c r="R173" s="15"/>
      <c r="S173" s="21"/>
      <c r="T173" s="13"/>
      <c r="U173" s="13"/>
      <c r="V173" s="22"/>
      <c r="W173" s="22" t="str">
        <f t="array" ref="W173">IF(A173="","",IFERROR(INDEX(PARAMETROS!$J$2:$J700,MATCH(H173,PARAMETROS!$E$2:$E700,0)),""))</f>
        <v/>
      </c>
      <c r="X173" s="23" t="str">
        <f t="shared" si="0"/>
        <v/>
      </c>
    </row>
    <row r="174" spans="1:24">
      <c r="A174" s="12"/>
      <c r="B174" s="12"/>
      <c r="C174" s="12"/>
      <c r="D174" s="12"/>
      <c r="E174" s="12"/>
      <c r="F174" s="12"/>
      <c r="G174" s="13"/>
      <c r="H174" s="12"/>
      <c r="I174" s="12"/>
      <c r="J174" s="14"/>
      <c r="K174" s="12"/>
      <c r="L174" s="14"/>
      <c r="M174" s="12"/>
      <c r="N174" s="12"/>
      <c r="O174" s="14"/>
      <c r="P174" s="12"/>
      <c r="Q174" s="15"/>
      <c r="R174" s="15"/>
      <c r="S174" s="21"/>
      <c r="T174" s="13"/>
      <c r="U174" s="13"/>
      <c r="V174" s="22"/>
      <c r="W174" s="22" t="str">
        <f t="array" ref="W174">IF(A174="","",IFERROR(INDEX(PARAMETROS!$J$2:$J700,MATCH(H174,PARAMETROS!$E$2:$E700,0)),""))</f>
        <v/>
      </c>
      <c r="X174" s="23" t="str">
        <f t="shared" si="0"/>
        <v/>
      </c>
    </row>
    <row r="175" spans="1:24">
      <c r="A175" s="12"/>
      <c r="B175" s="12"/>
      <c r="C175" s="12"/>
      <c r="D175" s="12"/>
      <c r="E175" s="12"/>
      <c r="F175" s="12"/>
      <c r="G175" s="13"/>
      <c r="H175" s="12"/>
      <c r="I175" s="12"/>
      <c r="J175" s="14"/>
      <c r="K175" s="12"/>
      <c r="L175" s="14"/>
      <c r="M175" s="12"/>
      <c r="N175" s="12"/>
      <c r="O175" s="14"/>
      <c r="P175" s="12"/>
      <c r="Q175" s="15"/>
      <c r="R175" s="15"/>
      <c r="S175" s="21"/>
      <c r="T175" s="13"/>
      <c r="U175" s="13"/>
      <c r="V175" s="22"/>
      <c r="W175" s="22" t="str">
        <f t="array" ref="W175">IF(A175="","",IFERROR(INDEX(PARAMETROS!$J$2:$J700,MATCH(H175,PARAMETROS!$E$2:$E700,0)),""))</f>
        <v/>
      </c>
      <c r="X175" s="23" t="str">
        <f t="shared" si="0"/>
        <v/>
      </c>
    </row>
    <row r="176" spans="1:24">
      <c r="A176" s="12"/>
      <c r="B176" s="12"/>
      <c r="C176" s="12"/>
      <c r="D176" s="12"/>
      <c r="E176" s="12"/>
      <c r="F176" s="12"/>
      <c r="G176" s="13"/>
      <c r="H176" s="12"/>
      <c r="I176" s="12"/>
      <c r="J176" s="14"/>
      <c r="K176" s="12"/>
      <c r="L176" s="14"/>
      <c r="M176" s="12"/>
      <c r="N176" s="12"/>
      <c r="O176" s="14"/>
      <c r="P176" s="12"/>
      <c r="Q176" s="15"/>
      <c r="R176" s="15"/>
      <c r="S176" s="21"/>
      <c r="T176" s="13"/>
      <c r="U176" s="13"/>
      <c r="V176" s="22"/>
      <c r="W176" s="22" t="str">
        <f t="array" ref="W176">IF(A176="","",IFERROR(INDEX(PARAMETROS!$J$2:$J700,MATCH(H176,PARAMETROS!$E$2:$E700,0)),""))</f>
        <v/>
      </c>
      <c r="X176" s="23" t="str">
        <f t="shared" si="0"/>
        <v/>
      </c>
    </row>
    <row r="177" spans="1:24">
      <c r="A177" s="12"/>
      <c r="B177" s="12"/>
      <c r="C177" s="12"/>
      <c r="D177" s="12"/>
      <c r="E177" s="12"/>
      <c r="F177" s="12"/>
      <c r="G177" s="13"/>
      <c r="H177" s="12"/>
      <c r="I177" s="12"/>
      <c r="J177" s="14"/>
      <c r="K177" s="12"/>
      <c r="L177" s="14"/>
      <c r="M177" s="12"/>
      <c r="N177" s="12"/>
      <c r="O177" s="14"/>
      <c r="P177" s="12"/>
      <c r="Q177" s="15"/>
      <c r="R177" s="15"/>
      <c r="S177" s="21"/>
      <c r="T177" s="13"/>
      <c r="U177" s="13"/>
      <c r="V177" s="22"/>
      <c r="W177" s="22" t="str">
        <f t="array" ref="W177">IF(A177="","",IFERROR(INDEX(PARAMETROS!$J$2:$J700,MATCH(H177,PARAMETROS!$E$2:$E700,0)),""))</f>
        <v/>
      </c>
      <c r="X177" s="23" t="str">
        <f t="shared" si="0"/>
        <v/>
      </c>
    </row>
    <row r="178" spans="1:24">
      <c r="A178" s="12"/>
      <c r="B178" s="12"/>
      <c r="C178" s="12"/>
      <c r="D178" s="12"/>
      <c r="E178" s="12"/>
      <c r="F178" s="12"/>
      <c r="G178" s="13"/>
      <c r="H178" s="12"/>
      <c r="I178" s="12"/>
      <c r="J178" s="14"/>
      <c r="K178" s="12"/>
      <c r="L178" s="14"/>
      <c r="M178" s="12"/>
      <c r="N178" s="12"/>
      <c r="O178" s="14"/>
      <c r="P178" s="12"/>
      <c r="Q178" s="15"/>
      <c r="R178" s="15"/>
      <c r="S178" s="21"/>
      <c r="T178" s="13"/>
      <c r="U178" s="13"/>
      <c r="V178" s="22"/>
      <c r="W178" s="22" t="str">
        <f t="array" ref="W178">IF(A178="","",IFERROR(INDEX(PARAMETROS!$J$2:$J700,MATCH(H178,PARAMETROS!$E$2:$E700,0)),""))</f>
        <v/>
      </c>
      <c r="X178" s="23" t="str">
        <f t="shared" si="0"/>
        <v/>
      </c>
    </row>
    <row r="179" spans="1:24">
      <c r="A179" s="12"/>
      <c r="B179" s="12"/>
      <c r="C179" s="12"/>
      <c r="D179" s="12"/>
      <c r="E179" s="12"/>
      <c r="F179" s="12"/>
      <c r="G179" s="13"/>
      <c r="H179" s="12"/>
      <c r="I179" s="12"/>
      <c r="J179" s="14"/>
      <c r="K179" s="12"/>
      <c r="L179" s="14"/>
      <c r="M179" s="12"/>
      <c r="N179" s="12"/>
      <c r="O179" s="14"/>
      <c r="P179" s="12"/>
      <c r="Q179" s="15"/>
      <c r="R179" s="15"/>
      <c r="S179" s="21"/>
      <c r="T179" s="13"/>
      <c r="U179" s="13"/>
      <c r="V179" s="22"/>
      <c r="W179" s="22" t="str">
        <f t="array" ref="W179">IF(A179="","",IFERROR(INDEX(PARAMETROS!$J$2:$J700,MATCH(H179,PARAMETROS!$E$2:$E700,0)),""))</f>
        <v/>
      </c>
      <c r="X179" s="23" t="str">
        <f t="shared" si="0"/>
        <v/>
      </c>
    </row>
    <row r="180" spans="1:24">
      <c r="A180" s="12"/>
      <c r="B180" s="12"/>
      <c r="C180" s="12"/>
      <c r="D180" s="12"/>
      <c r="E180" s="12"/>
      <c r="F180" s="12"/>
      <c r="G180" s="13"/>
      <c r="H180" s="12"/>
      <c r="I180" s="12"/>
      <c r="J180" s="14"/>
      <c r="K180" s="12"/>
      <c r="L180" s="14"/>
      <c r="M180" s="12"/>
      <c r="N180" s="12"/>
      <c r="O180" s="14"/>
      <c r="P180" s="12"/>
      <c r="Q180" s="15"/>
      <c r="R180" s="15"/>
      <c r="S180" s="21"/>
      <c r="T180" s="13"/>
      <c r="U180" s="13"/>
      <c r="V180" s="22"/>
      <c r="W180" s="22" t="str">
        <f t="array" ref="W180">IF(A180="","",IFERROR(INDEX(PARAMETROS!$J$2:$J700,MATCH(H180,PARAMETROS!$E$2:$E700,0)),""))</f>
        <v/>
      </c>
      <c r="X180" s="23" t="str">
        <f t="shared" si="0"/>
        <v/>
      </c>
    </row>
    <row r="181" spans="1:24">
      <c r="A181" s="12"/>
      <c r="B181" s="12"/>
      <c r="C181" s="12"/>
      <c r="D181" s="12"/>
      <c r="E181" s="12"/>
      <c r="F181" s="12"/>
      <c r="G181" s="13"/>
      <c r="H181" s="12"/>
      <c r="I181" s="12"/>
      <c r="J181" s="14"/>
      <c r="K181" s="12"/>
      <c r="L181" s="14"/>
      <c r="M181" s="12"/>
      <c r="N181" s="12"/>
      <c r="O181" s="14"/>
      <c r="P181" s="12"/>
      <c r="Q181" s="15"/>
      <c r="R181" s="15"/>
      <c r="S181" s="21"/>
      <c r="T181" s="13"/>
      <c r="U181" s="13"/>
      <c r="V181" s="22"/>
      <c r="W181" s="22" t="str">
        <f t="array" ref="W181">IF(A181="","",IFERROR(INDEX(PARAMETROS!$J$2:$J700,MATCH(H181,PARAMETROS!$E$2:$E700,0)),""))</f>
        <v/>
      </c>
      <c r="X181" s="23" t="str">
        <f t="shared" si="0"/>
        <v/>
      </c>
    </row>
    <row r="182" spans="1:24">
      <c r="A182" s="12"/>
      <c r="B182" s="12"/>
      <c r="C182" s="12"/>
      <c r="D182" s="12"/>
      <c r="E182" s="12"/>
      <c r="F182" s="12"/>
      <c r="G182" s="13"/>
      <c r="H182" s="12"/>
      <c r="I182" s="12"/>
      <c r="J182" s="14"/>
      <c r="K182" s="12"/>
      <c r="L182" s="14"/>
      <c r="M182" s="12"/>
      <c r="N182" s="12"/>
      <c r="O182" s="14"/>
      <c r="P182" s="12"/>
      <c r="Q182" s="15"/>
      <c r="R182" s="15"/>
      <c r="S182" s="21"/>
      <c r="T182" s="13"/>
      <c r="U182" s="13"/>
      <c r="V182" s="22"/>
      <c r="W182" s="22" t="str">
        <f t="array" ref="W182">IF(A182="","",IFERROR(INDEX(PARAMETROS!$J$2:$J700,MATCH(H182,PARAMETROS!$E$2:$E700,0)),""))</f>
        <v/>
      </c>
      <c r="X182" s="23" t="str">
        <f t="shared" si="0"/>
        <v/>
      </c>
    </row>
    <row r="183" spans="1:24">
      <c r="A183" s="12"/>
      <c r="B183" s="12"/>
      <c r="C183" s="12"/>
      <c r="D183" s="12"/>
      <c r="E183" s="12"/>
      <c r="F183" s="12"/>
      <c r="G183" s="13"/>
      <c r="H183" s="12"/>
      <c r="I183" s="12"/>
      <c r="J183" s="14"/>
      <c r="K183" s="12"/>
      <c r="L183" s="14"/>
      <c r="M183" s="12"/>
      <c r="N183" s="12"/>
      <c r="O183" s="14"/>
      <c r="P183" s="12"/>
      <c r="Q183" s="15"/>
      <c r="R183" s="15"/>
      <c r="S183" s="21"/>
      <c r="T183" s="13"/>
      <c r="U183" s="13"/>
      <c r="V183" s="22"/>
      <c r="W183" s="22" t="str">
        <f t="array" ref="W183">IF(A183="","",IFERROR(INDEX(PARAMETROS!$J$2:$J700,MATCH(H183,PARAMETROS!$E$2:$E700,0)),""))</f>
        <v/>
      </c>
      <c r="X183" s="23" t="str">
        <f t="shared" si="0"/>
        <v/>
      </c>
    </row>
    <row r="184" spans="1:24">
      <c r="A184" s="12"/>
      <c r="B184" s="12"/>
      <c r="C184" s="12"/>
      <c r="D184" s="12"/>
      <c r="E184" s="12"/>
      <c r="F184" s="12"/>
      <c r="G184" s="13"/>
      <c r="H184" s="12"/>
      <c r="I184" s="12"/>
      <c r="J184" s="14"/>
      <c r="K184" s="12"/>
      <c r="L184" s="14"/>
      <c r="M184" s="12"/>
      <c r="N184" s="12"/>
      <c r="O184" s="14"/>
      <c r="P184" s="12"/>
      <c r="Q184" s="15"/>
      <c r="R184" s="15"/>
      <c r="S184" s="21"/>
      <c r="T184" s="13"/>
      <c r="U184" s="13"/>
      <c r="V184" s="22"/>
      <c r="W184" s="22" t="str">
        <f t="array" ref="W184">IF(A184="","",IFERROR(INDEX(PARAMETROS!$J$2:$J700,MATCH(H184,PARAMETROS!$E$2:$E700,0)),""))</f>
        <v/>
      </c>
      <c r="X184" s="23" t="str">
        <f t="shared" si="0"/>
        <v/>
      </c>
    </row>
    <row r="185" spans="1:24">
      <c r="A185" s="12"/>
      <c r="B185" s="12"/>
      <c r="C185" s="12"/>
      <c r="D185" s="12"/>
      <c r="E185" s="12"/>
      <c r="F185" s="12"/>
      <c r="G185" s="13"/>
      <c r="H185" s="12"/>
      <c r="I185" s="12"/>
      <c r="J185" s="14"/>
      <c r="K185" s="12"/>
      <c r="L185" s="14"/>
      <c r="M185" s="12"/>
      <c r="N185" s="12"/>
      <c r="O185" s="14"/>
      <c r="P185" s="12"/>
      <c r="Q185" s="15"/>
      <c r="R185" s="15"/>
      <c r="S185" s="21"/>
      <c r="T185" s="13"/>
      <c r="U185" s="13"/>
      <c r="V185" s="22"/>
      <c r="W185" s="22" t="str">
        <f t="array" ref="W185">IF(A185="","",IFERROR(INDEX(PARAMETROS!$J$2:$J700,MATCH(H185,PARAMETROS!$E$2:$E700,0)),""))</f>
        <v/>
      </c>
      <c r="X185" s="23" t="str">
        <f t="shared" si="0"/>
        <v/>
      </c>
    </row>
    <row r="186" spans="1:24">
      <c r="A186" s="12"/>
      <c r="B186" s="12"/>
      <c r="C186" s="12"/>
      <c r="D186" s="12"/>
      <c r="E186" s="12"/>
      <c r="F186" s="12"/>
      <c r="G186" s="13"/>
      <c r="H186" s="12"/>
      <c r="I186" s="12"/>
      <c r="J186" s="14"/>
      <c r="K186" s="12"/>
      <c r="L186" s="14"/>
      <c r="M186" s="12"/>
      <c r="N186" s="12"/>
      <c r="O186" s="14"/>
      <c r="P186" s="12"/>
      <c r="Q186" s="15"/>
      <c r="R186" s="15"/>
      <c r="S186" s="21"/>
      <c r="T186" s="13"/>
      <c r="U186" s="13"/>
      <c r="V186" s="22"/>
      <c r="W186" s="22" t="str">
        <f t="array" ref="W186">IF(A186="","",IFERROR(INDEX(PARAMETROS!$J$2:$J700,MATCH(H186,PARAMETROS!$E$2:$E700,0)),""))</f>
        <v/>
      </c>
      <c r="X186" s="23" t="str">
        <f t="shared" si="0"/>
        <v/>
      </c>
    </row>
    <row r="187" spans="1:24">
      <c r="A187" s="12"/>
      <c r="B187" s="12"/>
      <c r="C187" s="12"/>
      <c r="D187" s="12"/>
      <c r="E187" s="12"/>
      <c r="F187" s="12"/>
      <c r="G187" s="13"/>
      <c r="H187" s="12"/>
      <c r="I187" s="12"/>
      <c r="J187" s="14"/>
      <c r="K187" s="12"/>
      <c r="L187" s="14"/>
      <c r="M187" s="12"/>
      <c r="N187" s="12"/>
      <c r="O187" s="14"/>
      <c r="P187" s="12"/>
      <c r="Q187" s="15"/>
      <c r="R187" s="15"/>
      <c r="S187" s="21"/>
      <c r="T187" s="13"/>
      <c r="U187" s="13"/>
      <c r="V187" s="22"/>
      <c r="W187" s="22" t="str">
        <f t="array" ref="W187">IF(A187="","",IFERROR(INDEX(PARAMETROS!$J$2:$J700,MATCH(H187,PARAMETROS!$E$2:$E700,0)),""))</f>
        <v/>
      </c>
      <c r="X187" s="23" t="str">
        <f t="shared" si="0"/>
        <v/>
      </c>
    </row>
    <row r="188" spans="1:24">
      <c r="A188" s="12"/>
      <c r="B188" s="12"/>
      <c r="C188" s="12"/>
      <c r="D188" s="12"/>
      <c r="E188" s="12"/>
      <c r="F188" s="12"/>
      <c r="G188" s="13"/>
      <c r="H188" s="12"/>
      <c r="I188" s="12"/>
      <c r="J188" s="14"/>
      <c r="K188" s="12"/>
      <c r="L188" s="14"/>
      <c r="M188" s="12"/>
      <c r="N188" s="12"/>
      <c r="O188" s="14"/>
      <c r="P188" s="12"/>
      <c r="Q188" s="15"/>
      <c r="R188" s="15"/>
      <c r="S188" s="21"/>
      <c r="T188" s="13"/>
      <c r="U188" s="13"/>
      <c r="V188" s="22"/>
      <c r="W188" s="22" t="str">
        <f t="array" ref="W188">IF(A188="","",IFERROR(INDEX(PARAMETROS!$J$2:$J700,MATCH(H188,PARAMETROS!$E$2:$E700,0)),""))</f>
        <v/>
      </c>
      <c r="X188" s="23" t="str">
        <f t="shared" si="0"/>
        <v/>
      </c>
    </row>
    <row r="189" spans="1:24">
      <c r="A189" s="12"/>
      <c r="B189" s="12"/>
      <c r="C189" s="12"/>
      <c r="D189" s="12"/>
      <c r="E189" s="12"/>
      <c r="F189" s="12"/>
      <c r="G189" s="13"/>
      <c r="H189" s="12"/>
      <c r="I189" s="12"/>
      <c r="J189" s="14"/>
      <c r="K189" s="12"/>
      <c r="L189" s="14"/>
      <c r="M189" s="12"/>
      <c r="N189" s="12"/>
      <c r="O189" s="14"/>
      <c r="P189" s="12"/>
      <c r="Q189" s="15"/>
      <c r="R189" s="15"/>
      <c r="S189" s="21"/>
      <c r="T189" s="13"/>
      <c r="U189" s="13"/>
      <c r="V189" s="22"/>
      <c r="W189" s="22" t="str">
        <f t="array" ref="W189">IF(A189="","",IFERROR(INDEX(PARAMETROS!$J$2:$J700,MATCH(H189,PARAMETROS!$E$2:$E700,0)),""))</f>
        <v/>
      </c>
      <c r="X189" s="23" t="str">
        <f t="shared" si="0"/>
        <v/>
      </c>
    </row>
    <row r="190" spans="1:24">
      <c r="A190" s="12"/>
      <c r="B190" s="12"/>
      <c r="C190" s="12"/>
      <c r="D190" s="12"/>
      <c r="E190" s="12"/>
      <c r="F190" s="12"/>
      <c r="G190" s="12"/>
      <c r="H190" s="12"/>
      <c r="I190" s="12"/>
      <c r="J190" s="14"/>
      <c r="K190" s="12"/>
      <c r="L190" s="14"/>
      <c r="M190" s="12"/>
      <c r="N190" s="12"/>
      <c r="O190" s="14"/>
      <c r="P190" s="12"/>
      <c r="Q190" s="15"/>
      <c r="R190" s="15"/>
      <c r="S190" s="21"/>
      <c r="T190" s="12"/>
      <c r="U190" s="12"/>
      <c r="V190" s="22"/>
      <c r="W190" s="22" t="str">
        <f t="array" ref="W190">IF(A190="","",IFERROR(INDEX(PARAMETROS!$J$2:$J700,MATCH(H190,PARAMETROS!$E$2:$E700,0)),""))</f>
        <v/>
      </c>
      <c r="X190" s="23" t="str">
        <f t="shared" si="0"/>
        <v/>
      </c>
    </row>
    <row r="191" spans="1:24">
      <c r="A191" s="12"/>
      <c r="B191" s="12"/>
      <c r="C191" s="12"/>
      <c r="D191" s="12"/>
      <c r="E191" s="12"/>
      <c r="F191" s="12"/>
      <c r="G191" s="12"/>
      <c r="H191" s="12"/>
      <c r="I191" s="12"/>
      <c r="J191" s="14"/>
      <c r="K191" s="12"/>
      <c r="L191" s="14"/>
      <c r="M191" s="12"/>
      <c r="N191" s="12"/>
      <c r="O191" s="14"/>
      <c r="P191" s="12"/>
      <c r="Q191" s="15"/>
      <c r="R191" s="15"/>
      <c r="S191" s="21"/>
      <c r="T191" s="12"/>
      <c r="U191" s="12"/>
      <c r="V191" s="22"/>
      <c r="W191" s="22" t="str">
        <f t="array" ref="W191">IF(A191="","",IFERROR(INDEX(PARAMETROS!$J$2:$J700,MATCH(H191,PARAMETROS!$E$2:$E700,0)),""))</f>
        <v/>
      </c>
      <c r="X191" s="23" t="str">
        <f t="shared" si="0"/>
        <v/>
      </c>
    </row>
    <row r="192" spans="1:24">
      <c r="A192" s="12"/>
      <c r="B192" s="12"/>
      <c r="C192" s="12"/>
      <c r="D192" s="12"/>
      <c r="E192" s="12"/>
      <c r="F192" s="12"/>
      <c r="G192" s="12"/>
      <c r="H192" s="12"/>
      <c r="I192" s="12"/>
      <c r="J192" s="14"/>
      <c r="K192" s="12"/>
      <c r="L192" s="14"/>
      <c r="M192" s="12"/>
      <c r="N192" s="12"/>
      <c r="O192" s="14"/>
      <c r="P192" s="12"/>
      <c r="Q192" s="15"/>
      <c r="R192" s="15"/>
      <c r="S192" s="21"/>
      <c r="T192" s="12"/>
      <c r="U192" s="12"/>
      <c r="V192" s="22"/>
      <c r="W192" s="22" t="str">
        <f t="array" ref="W192">IF(A192="","",IFERROR(INDEX(PARAMETROS!$J$2:$J700,MATCH(H192,PARAMETROS!$E$2:$E700,0)),""))</f>
        <v/>
      </c>
      <c r="X192" s="23" t="str">
        <f t="shared" si="0"/>
        <v/>
      </c>
    </row>
    <row r="193" spans="1:24">
      <c r="A193" s="12"/>
      <c r="B193" s="12"/>
      <c r="C193" s="12"/>
      <c r="D193" s="12"/>
      <c r="E193" s="12"/>
      <c r="F193" s="12"/>
      <c r="G193" s="12"/>
      <c r="H193" s="12"/>
      <c r="I193" s="12"/>
      <c r="J193" s="14"/>
      <c r="K193" s="12"/>
      <c r="L193" s="14"/>
      <c r="M193" s="12"/>
      <c r="N193" s="12"/>
      <c r="O193" s="14"/>
      <c r="P193" s="12"/>
      <c r="Q193" s="15"/>
      <c r="R193" s="15"/>
      <c r="S193" s="21"/>
      <c r="T193" s="12"/>
      <c r="U193" s="12"/>
      <c r="V193" s="22"/>
      <c r="W193" s="22" t="str">
        <f t="array" ref="W193">IF(A193="","",IFERROR(INDEX(PARAMETROS!$J$2:$J700,MATCH(H193,PARAMETROS!$E$2:$E700,0)),""))</f>
        <v/>
      </c>
      <c r="X193" s="23" t="str">
        <f t="shared" si="0"/>
        <v/>
      </c>
    </row>
    <row r="194" spans="1:24">
      <c r="A194" s="12"/>
      <c r="B194" s="12"/>
      <c r="C194" s="12"/>
      <c r="D194" s="12"/>
      <c r="E194" s="12"/>
      <c r="F194" s="12"/>
      <c r="G194" s="12"/>
      <c r="H194" s="12"/>
      <c r="I194" s="12"/>
      <c r="J194" s="14"/>
      <c r="K194" s="12"/>
      <c r="L194" s="14"/>
      <c r="M194" s="12"/>
      <c r="N194" s="12"/>
      <c r="O194" s="14"/>
      <c r="P194" s="12"/>
      <c r="Q194" s="15"/>
      <c r="R194" s="15"/>
      <c r="S194" s="21"/>
      <c r="T194" s="12"/>
      <c r="U194" s="12"/>
      <c r="V194" s="22"/>
      <c r="W194" s="22" t="str">
        <f t="array" ref="W194">IF(A194="","",IFERROR(INDEX(PARAMETROS!$J$2:$J700,MATCH(H194,PARAMETROS!$E$2:$E700,0)),""))</f>
        <v/>
      </c>
      <c r="X194" s="23" t="str">
        <f t="shared" si="0"/>
        <v/>
      </c>
    </row>
    <row r="195" spans="1:24">
      <c r="A195" s="12"/>
      <c r="B195" s="12"/>
      <c r="C195" s="12"/>
      <c r="D195" s="12"/>
      <c r="E195" s="12"/>
      <c r="F195" s="12"/>
      <c r="G195" s="12"/>
      <c r="H195" s="12"/>
      <c r="I195" s="12"/>
      <c r="J195" s="14"/>
      <c r="K195" s="12"/>
      <c r="L195" s="14"/>
      <c r="M195" s="12"/>
      <c r="N195" s="12"/>
      <c r="O195" s="14"/>
      <c r="P195" s="12"/>
      <c r="Q195" s="15"/>
      <c r="R195" s="15"/>
      <c r="S195" s="21"/>
      <c r="T195" s="12"/>
      <c r="U195" s="12"/>
      <c r="V195" s="22"/>
      <c r="W195" s="22" t="str">
        <f t="array" ref="W195">IF(A195="","",IFERROR(INDEX(PARAMETROS!$J$2:$J700,MATCH(H195,PARAMETROS!$E$2:$E700,0)),""))</f>
        <v/>
      </c>
      <c r="X195" s="23" t="str">
        <f t="shared" si="0"/>
        <v/>
      </c>
    </row>
    <row r="196" spans="1:24">
      <c r="A196" s="12"/>
      <c r="B196" s="12"/>
      <c r="C196" s="12"/>
      <c r="D196" s="12"/>
      <c r="E196" s="12"/>
      <c r="F196" s="12"/>
      <c r="G196" s="12"/>
      <c r="H196" s="12"/>
      <c r="I196" s="12"/>
      <c r="J196" s="14"/>
      <c r="K196" s="12"/>
      <c r="L196" s="14"/>
      <c r="M196" s="12"/>
      <c r="N196" s="12"/>
      <c r="O196" s="14"/>
      <c r="P196" s="12"/>
      <c r="Q196" s="15"/>
      <c r="R196" s="15"/>
      <c r="S196" s="21"/>
      <c r="T196" s="12"/>
      <c r="U196" s="12"/>
      <c r="V196" s="22"/>
      <c r="W196" s="22" t="str">
        <f t="array" ref="W196">IF(A196="","",IFERROR(INDEX(PARAMETROS!$J$2:$J700,MATCH(H196,PARAMETROS!$E$2:$E700,0)),""))</f>
        <v/>
      </c>
      <c r="X196" s="23" t="str">
        <f t="shared" si="0"/>
        <v/>
      </c>
    </row>
    <row r="197" spans="1:24">
      <c r="A197" s="12"/>
      <c r="B197" s="12"/>
      <c r="C197" s="12"/>
      <c r="D197" s="12"/>
      <c r="E197" s="12"/>
      <c r="F197" s="12"/>
      <c r="G197" s="12"/>
      <c r="H197" s="12"/>
      <c r="I197" s="12"/>
      <c r="J197" s="14"/>
      <c r="K197" s="12"/>
      <c r="L197" s="14"/>
      <c r="M197" s="12"/>
      <c r="N197" s="12"/>
      <c r="O197" s="14"/>
      <c r="P197" s="12"/>
      <c r="Q197" s="15"/>
      <c r="R197" s="15"/>
      <c r="S197" s="21"/>
      <c r="T197" s="12"/>
      <c r="U197" s="12"/>
      <c r="V197" s="22"/>
      <c r="W197" s="22" t="str">
        <f t="array" ref="W197">IF(A197="","",IFERROR(INDEX(PARAMETROS!$J$2:$J700,MATCH(H197,PARAMETROS!$E$2:$E700,0)),""))</f>
        <v/>
      </c>
      <c r="X197" s="23" t="str">
        <f t="shared" si="0"/>
        <v/>
      </c>
    </row>
    <row r="198" spans="1:24">
      <c r="A198" s="12"/>
      <c r="B198" s="12"/>
      <c r="C198" s="12"/>
      <c r="D198" s="12"/>
      <c r="E198" s="12"/>
      <c r="F198" s="12"/>
      <c r="G198" s="12"/>
      <c r="H198" s="12"/>
      <c r="I198" s="12"/>
      <c r="J198" s="14"/>
      <c r="K198" s="12"/>
      <c r="L198" s="14"/>
      <c r="M198" s="12"/>
      <c r="N198" s="12"/>
      <c r="O198" s="14"/>
      <c r="P198" s="12"/>
      <c r="Q198" s="15"/>
      <c r="R198" s="15"/>
      <c r="S198" s="21"/>
      <c r="T198" s="12"/>
      <c r="U198" s="12"/>
      <c r="V198" s="22"/>
      <c r="W198" s="22" t="str">
        <f t="array" ref="W198">IF(A198="","",IFERROR(INDEX(PARAMETROS!$J$2:$J700,MATCH(H198,PARAMETROS!$E$2:$E700,0)),""))</f>
        <v/>
      </c>
      <c r="X198" s="23" t="str">
        <f t="shared" si="0"/>
        <v/>
      </c>
    </row>
    <row r="199" spans="1:24">
      <c r="A199" s="12"/>
      <c r="B199" s="12"/>
      <c r="C199" s="12"/>
      <c r="D199" s="12"/>
      <c r="E199" s="12"/>
      <c r="F199" s="12"/>
      <c r="G199" s="12"/>
      <c r="H199" s="12"/>
      <c r="I199" s="12"/>
      <c r="J199" s="14"/>
      <c r="K199" s="12"/>
      <c r="L199" s="14"/>
      <c r="M199" s="12"/>
      <c r="N199" s="12"/>
      <c r="O199" s="14"/>
      <c r="P199" s="12"/>
      <c r="Q199" s="15"/>
      <c r="R199" s="15"/>
      <c r="S199" s="21"/>
      <c r="T199" s="12"/>
      <c r="U199" s="12"/>
      <c r="V199" s="22"/>
      <c r="W199" s="22" t="str">
        <f t="array" ref="W199">IF(A199="","",IFERROR(INDEX(PARAMETROS!$J$2:$J700,MATCH(H199,PARAMETROS!$E$2:$E700,0)),""))</f>
        <v/>
      </c>
      <c r="X199" s="23" t="str">
        <f t="shared" si="0"/>
        <v/>
      </c>
    </row>
    <row r="200" spans="1:24">
      <c r="A200" s="12"/>
      <c r="B200" s="12"/>
      <c r="C200" s="12"/>
      <c r="D200" s="12"/>
      <c r="E200" s="12"/>
      <c r="F200" s="12"/>
      <c r="G200" s="12"/>
      <c r="H200" s="12"/>
      <c r="I200" s="12"/>
      <c r="J200" s="14"/>
      <c r="K200" s="12"/>
      <c r="L200" s="14"/>
      <c r="M200" s="12"/>
      <c r="N200" s="12"/>
      <c r="O200" s="14"/>
      <c r="P200" s="12"/>
      <c r="Q200" s="15"/>
      <c r="R200" s="15"/>
      <c r="S200" s="21"/>
      <c r="T200" s="12"/>
      <c r="U200" s="12"/>
      <c r="V200" s="22"/>
      <c r="W200" s="22" t="str">
        <f t="array" ref="W200">IF(A200="","",IFERROR(INDEX(PARAMETROS!$J$2:$J700,MATCH(H200,PARAMETROS!$E$2:$E700,0)),""))</f>
        <v/>
      </c>
      <c r="X200" s="23" t="str">
        <f t="shared" si="0"/>
        <v/>
      </c>
    </row>
    <row r="201" spans="1:24">
      <c r="A201" s="12"/>
      <c r="B201" s="12"/>
      <c r="C201" s="12"/>
      <c r="D201" s="12"/>
      <c r="E201" s="12"/>
      <c r="F201" s="12"/>
      <c r="G201" s="12"/>
      <c r="H201" s="12"/>
      <c r="I201" s="12"/>
      <c r="J201" s="14"/>
      <c r="K201" s="12"/>
      <c r="L201" s="14"/>
      <c r="M201" s="12"/>
      <c r="N201" s="12"/>
      <c r="O201" s="14"/>
      <c r="P201" s="12"/>
      <c r="Q201" s="15"/>
      <c r="R201" s="15"/>
      <c r="S201" s="21"/>
      <c r="T201" s="12"/>
      <c r="U201" s="12"/>
      <c r="V201" s="22"/>
      <c r="W201" s="22" t="str">
        <f t="array" ref="W201">IF(A201="","",IFERROR(INDEX(PARAMETROS!$J$2:$J700,MATCH(H201,PARAMETROS!$E$2:$E700,0)),""))</f>
        <v/>
      </c>
      <c r="X201" s="23" t="str">
        <f t="shared" si="0"/>
        <v/>
      </c>
    </row>
    <row r="202" spans="1:24">
      <c r="A202" s="12"/>
      <c r="B202" s="12"/>
      <c r="C202" s="12"/>
      <c r="D202" s="12"/>
      <c r="E202" s="12"/>
      <c r="F202" s="12"/>
      <c r="G202" s="12"/>
      <c r="H202" s="12"/>
      <c r="I202" s="12"/>
      <c r="J202" s="14"/>
      <c r="K202" s="12"/>
      <c r="L202" s="14"/>
      <c r="M202" s="12"/>
      <c r="N202" s="12"/>
      <c r="O202" s="14"/>
      <c r="P202" s="12"/>
      <c r="Q202" s="15"/>
      <c r="R202" s="15"/>
      <c r="S202" s="21"/>
      <c r="T202" s="12"/>
      <c r="U202" s="12"/>
      <c r="V202" s="22"/>
      <c r="W202" s="22" t="str">
        <f t="array" ref="W202">IF(A202="","",IFERROR(INDEX(PARAMETROS!$J$2:$J700,MATCH(H202,PARAMETROS!$E$2:$E700,0)),""))</f>
        <v/>
      </c>
      <c r="X202" s="23" t="str">
        <f t="shared" si="0"/>
        <v/>
      </c>
    </row>
    <row r="203" spans="1:24">
      <c r="A203" s="12"/>
      <c r="B203" s="12"/>
      <c r="C203" s="12"/>
      <c r="D203" s="12"/>
      <c r="E203" s="12"/>
      <c r="F203" s="12"/>
      <c r="G203" s="12"/>
      <c r="H203" s="12"/>
      <c r="I203" s="12"/>
      <c r="J203" s="14"/>
      <c r="K203" s="12"/>
      <c r="L203" s="14"/>
      <c r="M203" s="12"/>
      <c r="N203" s="12"/>
      <c r="O203" s="14"/>
      <c r="P203" s="12"/>
      <c r="Q203" s="15"/>
      <c r="R203" s="15"/>
      <c r="S203" s="21"/>
      <c r="T203" s="12"/>
      <c r="U203" s="12"/>
      <c r="V203" s="22"/>
      <c r="W203" s="22" t="str">
        <f t="array" ref="W203">IF(A203="","",IFERROR(INDEX(PARAMETROS!$J$2:$J700,MATCH(H203,PARAMETROS!$E$2:$E700,0)),""))</f>
        <v/>
      </c>
      <c r="X203" s="23" t="str">
        <f t="shared" si="0"/>
        <v/>
      </c>
    </row>
    <row r="204" spans="1:24">
      <c r="A204" s="12"/>
      <c r="B204" s="12"/>
      <c r="C204" s="12"/>
      <c r="D204" s="12"/>
      <c r="E204" s="12"/>
      <c r="F204" s="12"/>
      <c r="G204" s="12"/>
      <c r="H204" s="12"/>
      <c r="I204" s="12"/>
      <c r="J204" s="14"/>
      <c r="K204" s="12"/>
      <c r="L204" s="14"/>
      <c r="M204" s="12"/>
      <c r="N204" s="12"/>
      <c r="O204" s="14"/>
      <c r="P204" s="12"/>
      <c r="Q204" s="15"/>
      <c r="R204" s="15"/>
      <c r="S204" s="21"/>
      <c r="T204" s="12"/>
      <c r="U204" s="12"/>
      <c r="V204" s="22"/>
      <c r="W204" s="22" t="str">
        <f t="array" ref="W204">IF(A204="","",IFERROR(INDEX(PARAMETROS!$J$2:$J700,MATCH(H204,PARAMETROS!$E$2:$E700,0)),""))</f>
        <v/>
      </c>
      <c r="X204" s="23" t="str">
        <f t="shared" si="0"/>
        <v/>
      </c>
    </row>
    <row r="205" spans="1:24">
      <c r="A205" s="12"/>
      <c r="B205" s="12"/>
      <c r="C205" s="12"/>
      <c r="D205" s="12"/>
      <c r="E205" s="12"/>
      <c r="F205" s="12"/>
      <c r="G205" s="12"/>
      <c r="H205" s="12"/>
      <c r="I205" s="12"/>
      <c r="J205" s="14"/>
      <c r="K205" s="12"/>
      <c r="L205" s="14"/>
      <c r="M205" s="12"/>
      <c r="N205" s="12"/>
      <c r="O205" s="14"/>
      <c r="P205" s="12"/>
      <c r="Q205" s="15"/>
      <c r="R205" s="15"/>
      <c r="S205" s="21"/>
      <c r="T205" s="12"/>
      <c r="U205" s="12"/>
      <c r="V205" s="22"/>
      <c r="W205" s="22" t="str">
        <f t="array" ref="W205">IF(A205="","",IFERROR(INDEX(PARAMETROS!$J$2:$J700,MATCH(H205,PARAMETROS!$E$2:$E700,0)),""))</f>
        <v/>
      </c>
      <c r="X205" s="23" t="str">
        <f t="shared" si="0"/>
        <v/>
      </c>
    </row>
    <row r="206" spans="1:24">
      <c r="A206" s="12"/>
      <c r="B206" s="12"/>
      <c r="C206" s="12"/>
      <c r="D206" s="12"/>
      <c r="E206" s="12"/>
      <c r="F206" s="12"/>
      <c r="G206" s="12"/>
      <c r="H206" s="12"/>
      <c r="I206" s="12"/>
      <c r="J206" s="14"/>
      <c r="K206" s="12"/>
      <c r="L206" s="14"/>
      <c r="M206" s="12"/>
      <c r="N206" s="12"/>
      <c r="O206" s="14"/>
      <c r="P206" s="12"/>
      <c r="Q206" s="15"/>
      <c r="R206" s="15"/>
      <c r="S206" s="21"/>
      <c r="T206" s="12"/>
      <c r="U206" s="12"/>
      <c r="V206" s="22"/>
      <c r="W206" s="22" t="str">
        <f t="array" ref="W206">IF(A206="","",IFERROR(INDEX(PARAMETROS!$J$2:$J700,MATCH(H206,PARAMETROS!$E$2:$E700,0)),""))</f>
        <v/>
      </c>
      <c r="X206" s="23" t="str">
        <f t="shared" si="0"/>
        <v/>
      </c>
    </row>
    <row r="207" spans="1:24">
      <c r="A207" s="12"/>
      <c r="B207" s="12"/>
      <c r="C207" s="12"/>
      <c r="D207" s="12"/>
      <c r="E207" s="12"/>
      <c r="F207" s="12"/>
      <c r="G207" s="12"/>
      <c r="H207" s="12"/>
      <c r="I207" s="12"/>
      <c r="J207" s="14"/>
      <c r="K207" s="12"/>
      <c r="L207" s="14"/>
      <c r="M207" s="12"/>
      <c r="N207" s="12"/>
      <c r="O207" s="14"/>
      <c r="P207" s="12"/>
      <c r="Q207" s="15"/>
      <c r="R207" s="15"/>
      <c r="S207" s="21"/>
      <c r="T207" s="12"/>
      <c r="U207" s="12"/>
      <c r="V207" s="22"/>
      <c r="W207" s="22" t="str">
        <f t="array" ref="W207">IF(A207="","",IFERROR(INDEX(PARAMETROS!$J$2:$J700,MATCH(H207,PARAMETROS!$E$2:$E700,0)),""))</f>
        <v/>
      </c>
      <c r="X207" s="23" t="str">
        <f t="shared" si="0"/>
        <v/>
      </c>
    </row>
    <row r="208" spans="1:24">
      <c r="A208" s="12"/>
      <c r="B208" s="12"/>
      <c r="C208" s="12"/>
      <c r="D208" s="12"/>
      <c r="E208" s="12"/>
      <c r="F208" s="12"/>
      <c r="G208" s="12"/>
      <c r="H208" s="12"/>
      <c r="I208" s="12"/>
      <c r="J208" s="14"/>
      <c r="K208" s="12"/>
      <c r="L208" s="14"/>
      <c r="M208" s="12"/>
      <c r="N208" s="12"/>
      <c r="O208" s="14"/>
      <c r="P208" s="12"/>
      <c r="Q208" s="15"/>
      <c r="R208" s="15"/>
      <c r="S208" s="21"/>
      <c r="T208" s="12"/>
      <c r="U208" s="12"/>
      <c r="V208" s="22"/>
      <c r="W208" s="22" t="str">
        <f t="array" ref="W208">IF(A208="","",IFERROR(INDEX(PARAMETROS!$J$2:$J700,MATCH(H208,PARAMETROS!$E$2:$E700,0)),""))</f>
        <v/>
      </c>
      <c r="X208" s="23" t="str">
        <f t="shared" si="0"/>
        <v/>
      </c>
    </row>
    <row r="209" spans="1:24">
      <c r="A209" s="12"/>
      <c r="B209" s="12"/>
      <c r="C209" s="12"/>
      <c r="D209" s="12"/>
      <c r="E209" s="12"/>
      <c r="F209" s="12"/>
      <c r="G209" s="12"/>
      <c r="H209" s="12"/>
      <c r="I209" s="12"/>
      <c r="J209" s="14"/>
      <c r="K209" s="12"/>
      <c r="L209" s="14"/>
      <c r="M209" s="12"/>
      <c r="N209" s="12"/>
      <c r="O209" s="14"/>
      <c r="P209" s="12"/>
      <c r="Q209" s="15"/>
      <c r="R209" s="15"/>
      <c r="S209" s="21"/>
      <c r="T209" s="12"/>
      <c r="U209" s="12"/>
      <c r="V209" s="22"/>
      <c r="W209" s="22" t="str">
        <f t="array" ref="W209">IF(A209="","",IFERROR(INDEX(PARAMETROS!$J$2:$J700,MATCH(H209,PARAMETROS!$E$2:$E700,0)),""))</f>
        <v/>
      </c>
      <c r="X209" s="23" t="str">
        <f t="shared" si="0"/>
        <v/>
      </c>
    </row>
    <row r="210" spans="1:24">
      <c r="A210" s="12"/>
      <c r="B210" s="12"/>
      <c r="C210" s="12"/>
      <c r="D210" s="12"/>
      <c r="E210" s="12"/>
      <c r="F210" s="12"/>
      <c r="G210" s="12"/>
      <c r="H210" s="12"/>
      <c r="I210" s="12"/>
      <c r="J210" s="14"/>
      <c r="K210" s="12"/>
      <c r="L210" s="14"/>
      <c r="M210" s="12"/>
      <c r="N210" s="12"/>
      <c r="O210" s="14"/>
      <c r="P210" s="12"/>
      <c r="Q210" s="15"/>
      <c r="R210" s="15"/>
      <c r="S210" s="21"/>
      <c r="T210" s="12"/>
      <c r="U210" s="12"/>
      <c r="V210" s="22"/>
      <c r="W210" s="22" t="str">
        <f t="array" ref="W210">IF(A210="","",IFERROR(INDEX(PARAMETROS!$J$2:$J700,MATCH(H210,PARAMETROS!$E$2:$E700,0)),""))</f>
        <v/>
      </c>
      <c r="X210" s="23" t="str">
        <f t="shared" si="0"/>
        <v/>
      </c>
    </row>
    <row r="211" spans="1:24">
      <c r="A211" s="12"/>
      <c r="B211" s="12"/>
      <c r="C211" s="12"/>
      <c r="D211" s="12"/>
      <c r="E211" s="12"/>
      <c r="F211" s="12"/>
      <c r="G211" s="12"/>
      <c r="H211" s="12"/>
      <c r="I211" s="12"/>
      <c r="J211" s="14"/>
      <c r="K211" s="12"/>
      <c r="L211" s="14"/>
      <c r="M211" s="12"/>
      <c r="N211" s="12"/>
      <c r="O211" s="14"/>
      <c r="P211" s="12"/>
      <c r="Q211" s="15"/>
      <c r="R211" s="15"/>
      <c r="S211" s="21"/>
      <c r="T211" s="12"/>
      <c r="U211" s="12"/>
      <c r="V211" s="22"/>
      <c r="W211" s="22" t="str">
        <f t="array" ref="W211">IF(A211="","",IFERROR(INDEX(PARAMETROS!$J$2:$J700,MATCH(H211,PARAMETROS!$E$2:$E700,0)),""))</f>
        <v/>
      </c>
      <c r="X211" s="23" t="str">
        <f t="shared" si="0"/>
        <v/>
      </c>
    </row>
    <row r="212" spans="1:24">
      <c r="A212" s="12"/>
      <c r="B212" s="12"/>
      <c r="C212" s="12"/>
      <c r="D212" s="12"/>
      <c r="E212" s="12"/>
      <c r="F212" s="12"/>
      <c r="G212" s="12"/>
      <c r="H212" s="12"/>
      <c r="I212" s="12"/>
      <c r="J212" s="14"/>
      <c r="K212" s="12"/>
      <c r="L212" s="14"/>
      <c r="M212" s="12"/>
      <c r="N212" s="12"/>
      <c r="O212" s="14"/>
      <c r="P212" s="12"/>
      <c r="Q212" s="15"/>
      <c r="R212" s="15"/>
      <c r="S212" s="21"/>
      <c r="T212" s="12"/>
      <c r="U212" s="12"/>
      <c r="V212" s="22"/>
      <c r="W212" s="22" t="str">
        <f t="array" ref="W212">IF(A212="","",IFERROR(INDEX(PARAMETROS!$J$2:$J700,MATCH(H212,PARAMETROS!$E$2:$E700,0)),""))</f>
        <v/>
      </c>
      <c r="X212" s="23" t="str">
        <f t="shared" si="0"/>
        <v/>
      </c>
    </row>
    <row r="213" spans="1:24">
      <c r="A213" s="12"/>
      <c r="B213" s="12"/>
      <c r="C213" s="12"/>
      <c r="D213" s="12"/>
      <c r="E213" s="12"/>
      <c r="F213" s="12"/>
      <c r="G213" s="12"/>
      <c r="H213" s="12"/>
      <c r="I213" s="12"/>
      <c r="J213" s="14"/>
      <c r="K213" s="12"/>
      <c r="L213" s="14"/>
      <c r="M213" s="12"/>
      <c r="N213" s="12"/>
      <c r="O213" s="14"/>
      <c r="P213" s="12"/>
      <c r="Q213" s="15"/>
      <c r="R213" s="15"/>
      <c r="S213" s="21"/>
      <c r="T213" s="12"/>
      <c r="U213" s="12"/>
      <c r="V213" s="22"/>
      <c r="W213" s="22" t="str">
        <f t="array" ref="W213">IF(A213="","",IFERROR(INDEX(PARAMETROS!$J$2:$J700,MATCH(H213,PARAMETROS!$E$2:$E700,0)),""))</f>
        <v/>
      </c>
      <c r="X213" s="23" t="str">
        <f t="shared" si="0"/>
        <v/>
      </c>
    </row>
    <row r="214" spans="1:24">
      <c r="A214" s="12"/>
      <c r="B214" s="12"/>
      <c r="C214" s="12"/>
      <c r="D214" s="12"/>
      <c r="E214" s="12"/>
      <c r="F214" s="12"/>
      <c r="G214" s="12"/>
      <c r="H214" s="12"/>
      <c r="I214" s="12"/>
      <c r="J214" s="14"/>
      <c r="K214" s="12"/>
      <c r="L214" s="14"/>
      <c r="M214" s="12"/>
      <c r="N214" s="12"/>
      <c r="O214" s="14"/>
      <c r="P214" s="12"/>
      <c r="Q214" s="15"/>
      <c r="R214" s="15"/>
      <c r="S214" s="21"/>
      <c r="T214" s="12"/>
      <c r="U214" s="12"/>
      <c r="V214" s="22"/>
      <c r="W214" s="22" t="str">
        <f t="array" ref="W214">IF(A214="","",IFERROR(INDEX(PARAMETROS!$J$2:$J700,MATCH(H214,PARAMETROS!$E$2:$E700,0)),""))</f>
        <v/>
      </c>
      <c r="X214" s="23" t="str">
        <f t="shared" si="0"/>
        <v/>
      </c>
    </row>
    <row r="215" spans="1:24">
      <c r="A215" s="12"/>
      <c r="B215" s="12"/>
      <c r="C215" s="12"/>
      <c r="D215" s="12"/>
      <c r="E215" s="12"/>
      <c r="F215" s="12"/>
      <c r="G215" s="12"/>
      <c r="H215" s="12"/>
      <c r="I215" s="12"/>
      <c r="J215" s="14"/>
      <c r="K215" s="12"/>
      <c r="L215" s="14"/>
      <c r="M215" s="12"/>
      <c r="N215" s="12"/>
      <c r="O215" s="14"/>
      <c r="P215" s="12"/>
      <c r="Q215" s="15"/>
      <c r="R215" s="15"/>
      <c r="S215" s="21"/>
      <c r="T215" s="12"/>
      <c r="U215" s="12"/>
      <c r="V215" s="22"/>
      <c r="W215" s="22" t="str">
        <f t="array" ref="W215">IF(A215="","",IFERROR(INDEX(PARAMETROS!$J$2:$J700,MATCH(H215,PARAMETROS!$E$2:$E700,0)),""))</f>
        <v/>
      </c>
      <c r="X215" s="23" t="str">
        <f t="shared" si="0"/>
        <v/>
      </c>
    </row>
    <row r="216" spans="1:24">
      <c r="A216" s="12"/>
      <c r="B216" s="12"/>
      <c r="C216" s="12"/>
      <c r="D216" s="12"/>
      <c r="E216" s="12"/>
      <c r="F216" s="12"/>
      <c r="G216" s="12"/>
      <c r="H216" s="12"/>
      <c r="I216" s="12"/>
      <c r="J216" s="14"/>
      <c r="K216" s="12"/>
      <c r="L216" s="14"/>
      <c r="M216" s="12"/>
      <c r="N216" s="12"/>
      <c r="O216" s="14"/>
      <c r="P216" s="12"/>
      <c r="Q216" s="15"/>
      <c r="R216" s="15"/>
      <c r="S216" s="21"/>
      <c r="T216" s="12"/>
      <c r="U216" s="12"/>
      <c r="V216" s="22"/>
      <c r="W216" s="22" t="str">
        <f t="array" ref="W216">IF(A216="","",IFERROR(INDEX(PARAMETROS!$J$2:$J700,MATCH(H216,PARAMETROS!$E$2:$E700,0)),""))</f>
        <v/>
      </c>
      <c r="X216" s="23" t="str">
        <f t="shared" si="0"/>
        <v/>
      </c>
    </row>
    <row r="217" spans="1:24">
      <c r="A217" s="12"/>
      <c r="B217" s="12"/>
      <c r="C217" s="12"/>
      <c r="D217" s="12"/>
      <c r="E217" s="12"/>
      <c r="F217" s="12"/>
      <c r="G217" s="12"/>
      <c r="H217" s="12"/>
      <c r="I217" s="12"/>
      <c r="J217" s="14"/>
      <c r="K217" s="12"/>
      <c r="L217" s="14"/>
      <c r="M217" s="12"/>
      <c r="N217" s="12"/>
      <c r="O217" s="14"/>
      <c r="P217" s="12"/>
      <c r="Q217" s="15"/>
      <c r="R217" s="15"/>
      <c r="S217" s="21"/>
      <c r="T217" s="12"/>
      <c r="U217" s="12"/>
      <c r="V217" s="22"/>
      <c r="W217" s="22" t="str">
        <f t="array" ref="W217">IF(A217="","",IFERROR(INDEX(PARAMETROS!$J$2:$J700,MATCH(H217,PARAMETROS!$E$2:$E700,0)),""))</f>
        <v/>
      </c>
      <c r="X217" s="23" t="str">
        <f t="shared" si="0"/>
        <v/>
      </c>
    </row>
    <row r="218" spans="1:24">
      <c r="A218" s="12"/>
      <c r="B218" s="12"/>
      <c r="C218" s="12"/>
      <c r="D218" s="12"/>
      <c r="E218" s="12"/>
      <c r="F218" s="12"/>
      <c r="G218" s="12"/>
      <c r="H218" s="12"/>
      <c r="I218" s="12"/>
      <c r="J218" s="14"/>
      <c r="K218" s="12"/>
      <c r="L218" s="14"/>
      <c r="M218" s="12"/>
      <c r="N218" s="12"/>
      <c r="O218" s="14"/>
      <c r="P218" s="12"/>
      <c r="Q218" s="15"/>
      <c r="R218" s="15"/>
      <c r="S218" s="21"/>
      <c r="T218" s="12"/>
      <c r="U218" s="12"/>
      <c r="V218" s="22"/>
      <c r="W218" s="22" t="str">
        <f t="array" ref="W218">IF(A218="","",IFERROR(INDEX(PARAMETROS!$J$2:$J700,MATCH(H218,PARAMETROS!$E$2:$E700,0)),""))</f>
        <v/>
      </c>
      <c r="X218" s="23" t="str">
        <f t="shared" si="0"/>
        <v/>
      </c>
    </row>
    <row r="219" spans="1:24">
      <c r="A219" s="12"/>
      <c r="B219" s="12"/>
      <c r="C219" s="12"/>
      <c r="D219" s="12"/>
      <c r="E219" s="12"/>
      <c r="F219" s="12"/>
      <c r="G219" s="12"/>
      <c r="H219" s="12"/>
      <c r="I219" s="12"/>
      <c r="J219" s="14"/>
      <c r="K219" s="12"/>
      <c r="L219" s="14"/>
      <c r="M219" s="12"/>
      <c r="N219" s="12"/>
      <c r="O219" s="14"/>
      <c r="P219" s="12"/>
      <c r="Q219" s="15"/>
      <c r="R219" s="15"/>
      <c r="S219" s="21"/>
      <c r="T219" s="12"/>
      <c r="U219" s="12"/>
      <c r="V219" s="22"/>
      <c r="W219" s="22" t="str">
        <f t="array" ref="W219">IF(A219="","",IFERROR(INDEX(PARAMETROS!$J$2:$J700,MATCH(H219,PARAMETROS!$E$2:$E700,0)),""))</f>
        <v/>
      </c>
      <c r="X219" s="23" t="str">
        <f t="shared" si="0"/>
        <v/>
      </c>
    </row>
    <row r="220" spans="1:24">
      <c r="A220" s="12"/>
      <c r="B220" s="12"/>
      <c r="C220" s="12"/>
      <c r="D220" s="12"/>
      <c r="E220" s="12"/>
      <c r="F220" s="12"/>
      <c r="G220" s="12"/>
      <c r="H220" s="12"/>
      <c r="I220" s="12"/>
      <c r="J220" s="14"/>
      <c r="K220" s="12"/>
      <c r="L220" s="14"/>
      <c r="M220" s="12"/>
      <c r="N220" s="12"/>
      <c r="O220" s="14"/>
      <c r="P220" s="12"/>
      <c r="Q220" s="15"/>
      <c r="R220" s="15"/>
      <c r="S220" s="21"/>
      <c r="T220" s="12"/>
      <c r="U220" s="12"/>
      <c r="V220" s="22"/>
      <c r="W220" s="22" t="str">
        <f t="array" ref="W220">IF(A220="","",IFERROR(INDEX(PARAMETROS!$J$2:$J700,MATCH(H220,PARAMETROS!$E$2:$E700,0)),""))</f>
        <v/>
      </c>
      <c r="X220" s="23" t="str">
        <f t="shared" si="0"/>
        <v/>
      </c>
    </row>
    <row r="221" spans="1:24">
      <c r="A221" s="12"/>
      <c r="B221" s="12"/>
      <c r="C221" s="12"/>
      <c r="D221" s="12"/>
      <c r="E221" s="12"/>
      <c r="F221" s="12"/>
      <c r="G221" s="12"/>
      <c r="H221" s="12"/>
      <c r="I221" s="12"/>
      <c r="J221" s="14"/>
      <c r="K221" s="12"/>
      <c r="L221" s="14"/>
      <c r="M221" s="12"/>
      <c r="N221" s="12"/>
      <c r="O221" s="14"/>
      <c r="P221" s="12"/>
      <c r="Q221" s="15"/>
      <c r="R221" s="15"/>
      <c r="S221" s="21"/>
      <c r="T221" s="12"/>
      <c r="U221" s="12"/>
      <c r="V221" s="22"/>
      <c r="W221" s="22" t="str">
        <f t="array" ref="W221">IF(A221="","",IFERROR(INDEX(PARAMETROS!$J$2:$J700,MATCH(H221,PARAMETROS!$E$2:$E700,0)),""))</f>
        <v/>
      </c>
      <c r="X221" s="23" t="str">
        <f t="shared" si="0"/>
        <v/>
      </c>
    </row>
    <row r="222" spans="1:24">
      <c r="A222" s="12"/>
      <c r="B222" s="12"/>
      <c r="C222" s="12"/>
      <c r="D222" s="12"/>
      <c r="E222" s="12"/>
      <c r="F222" s="12"/>
      <c r="G222" s="12"/>
      <c r="H222" s="12"/>
      <c r="I222" s="12"/>
      <c r="J222" s="14"/>
      <c r="K222" s="12"/>
      <c r="L222" s="14"/>
      <c r="M222" s="12"/>
      <c r="N222" s="12"/>
      <c r="O222" s="14"/>
      <c r="P222" s="12"/>
      <c r="Q222" s="15"/>
      <c r="R222" s="15"/>
      <c r="S222" s="21"/>
      <c r="T222" s="12"/>
      <c r="U222" s="12"/>
      <c r="V222" s="22"/>
      <c r="W222" s="22" t="str">
        <f t="array" ref="W222">IF(A222="","",IFERROR(INDEX(PARAMETROS!$J$2:$J700,MATCH(H222,PARAMETROS!$E$2:$E700,0)),""))</f>
        <v/>
      </c>
      <c r="X222" s="23" t="str">
        <f t="shared" si="0"/>
        <v/>
      </c>
    </row>
    <row r="223" spans="1:24">
      <c r="A223" s="12"/>
      <c r="B223" s="12"/>
      <c r="C223" s="12"/>
      <c r="D223" s="12"/>
      <c r="E223" s="12"/>
      <c r="F223" s="12"/>
      <c r="G223" s="12"/>
      <c r="H223" s="12"/>
      <c r="I223" s="12"/>
      <c r="J223" s="14"/>
      <c r="K223" s="12"/>
      <c r="L223" s="14"/>
      <c r="M223" s="12"/>
      <c r="N223" s="12"/>
      <c r="O223" s="14"/>
      <c r="P223" s="12"/>
      <c r="Q223" s="15"/>
      <c r="R223" s="15"/>
      <c r="S223" s="21"/>
      <c r="T223" s="12"/>
      <c r="U223" s="12"/>
      <c r="V223" s="22"/>
      <c r="W223" s="22" t="str">
        <f t="array" ref="W223">IF(A223="","",IFERROR(INDEX(PARAMETROS!$J$2:$J700,MATCH(H223,PARAMETROS!$E$2:$E700,0)),""))</f>
        <v/>
      </c>
      <c r="X223" s="23" t="str">
        <f t="shared" si="0"/>
        <v/>
      </c>
    </row>
    <row r="224" spans="1:24">
      <c r="A224" s="12"/>
      <c r="B224" s="12"/>
      <c r="C224" s="12"/>
      <c r="D224" s="12"/>
      <c r="E224" s="12"/>
      <c r="F224" s="12"/>
      <c r="G224" s="12"/>
      <c r="H224" s="12"/>
      <c r="I224" s="12"/>
      <c r="J224" s="14"/>
      <c r="K224" s="12"/>
      <c r="L224" s="14"/>
      <c r="M224" s="12"/>
      <c r="N224" s="12"/>
      <c r="O224" s="14"/>
      <c r="P224" s="12"/>
      <c r="Q224" s="15"/>
      <c r="R224" s="15"/>
      <c r="S224" s="21"/>
      <c r="T224" s="12"/>
      <c r="U224" s="12"/>
      <c r="V224" s="22"/>
      <c r="W224" s="22" t="str">
        <f t="array" ref="W224">IF(A224="","",IFERROR(INDEX(PARAMETROS!$J$2:$J700,MATCH(H224,PARAMETROS!$E$2:$E700,0)),""))</f>
        <v/>
      </c>
      <c r="X224" s="23" t="str">
        <f t="shared" si="0"/>
        <v/>
      </c>
    </row>
    <row r="225" spans="1:24">
      <c r="A225" s="12"/>
      <c r="B225" s="12"/>
      <c r="C225" s="12"/>
      <c r="D225" s="12"/>
      <c r="E225" s="12"/>
      <c r="F225" s="12"/>
      <c r="G225" s="12"/>
      <c r="H225" s="12"/>
      <c r="I225" s="12"/>
      <c r="J225" s="14"/>
      <c r="K225" s="12"/>
      <c r="L225" s="14"/>
      <c r="M225" s="12"/>
      <c r="N225" s="12"/>
      <c r="O225" s="14"/>
      <c r="P225" s="12"/>
      <c r="Q225" s="15"/>
      <c r="R225" s="15"/>
      <c r="S225" s="21"/>
      <c r="T225" s="12"/>
      <c r="U225" s="12"/>
      <c r="V225" s="22"/>
      <c r="W225" s="22" t="str">
        <f t="array" ref="W225">IF(A225="","",IFERROR(INDEX(PARAMETROS!$J$2:$J700,MATCH(H225,PARAMETROS!$E$2:$E700,0)),""))</f>
        <v/>
      </c>
      <c r="X225" s="23" t="str">
        <f t="shared" si="0"/>
        <v/>
      </c>
    </row>
    <row r="226" spans="1:24">
      <c r="A226" s="12"/>
      <c r="B226" s="12"/>
      <c r="C226" s="12"/>
      <c r="D226" s="12"/>
      <c r="E226" s="12"/>
      <c r="F226" s="12"/>
      <c r="G226" s="12"/>
      <c r="H226" s="12"/>
      <c r="I226" s="12"/>
      <c r="J226" s="14"/>
      <c r="K226" s="12"/>
      <c r="L226" s="14"/>
      <c r="M226" s="12"/>
      <c r="N226" s="12"/>
      <c r="O226" s="14"/>
      <c r="P226" s="12"/>
      <c r="Q226" s="15"/>
      <c r="R226" s="15"/>
      <c r="S226" s="21"/>
      <c r="T226" s="12"/>
      <c r="U226" s="12"/>
      <c r="V226" s="22"/>
      <c r="W226" s="22" t="str">
        <f t="array" ref="W226">IF(A226="","",IFERROR(INDEX(PARAMETROS!$J$2:$J700,MATCH(H226,PARAMETROS!$E$2:$E700,0)),""))</f>
        <v/>
      </c>
      <c r="X226" s="23" t="str">
        <f t="shared" si="0"/>
        <v/>
      </c>
    </row>
    <row r="227" spans="1:24">
      <c r="A227" s="12"/>
      <c r="B227" s="12"/>
      <c r="C227" s="12"/>
      <c r="D227" s="12"/>
      <c r="E227" s="12"/>
      <c r="F227" s="12"/>
      <c r="G227" s="12"/>
      <c r="H227" s="12"/>
      <c r="I227" s="12"/>
      <c r="J227" s="14"/>
      <c r="K227" s="12"/>
      <c r="L227" s="14"/>
      <c r="M227" s="12"/>
      <c r="N227" s="12"/>
      <c r="O227" s="14"/>
      <c r="P227" s="12"/>
      <c r="Q227" s="15"/>
      <c r="R227" s="15"/>
      <c r="S227" s="21"/>
      <c r="T227" s="12"/>
      <c r="U227" s="12"/>
      <c r="V227" s="22"/>
      <c r="W227" s="22" t="str">
        <f t="array" ref="W227">IF(A227="","",IFERROR(INDEX(PARAMETROS!$J$2:$J700,MATCH(H227,PARAMETROS!$E$2:$E700,0)),""))</f>
        <v/>
      </c>
      <c r="X227" s="23" t="str">
        <f t="shared" si="0"/>
        <v/>
      </c>
    </row>
    <row r="228" spans="1:24">
      <c r="A228" s="12"/>
      <c r="B228" s="12"/>
      <c r="C228" s="12"/>
      <c r="D228" s="12"/>
      <c r="E228" s="12"/>
      <c r="F228" s="12"/>
      <c r="G228" s="12"/>
      <c r="H228" s="12"/>
      <c r="I228" s="12"/>
      <c r="J228" s="14"/>
      <c r="K228" s="12"/>
      <c r="L228" s="14"/>
      <c r="M228" s="12"/>
      <c r="N228" s="12"/>
      <c r="O228" s="14"/>
      <c r="P228" s="12"/>
      <c r="Q228" s="15"/>
      <c r="R228" s="15"/>
      <c r="S228" s="21"/>
      <c r="T228" s="12"/>
      <c r="U228" s="12"/>
      <c r="V228" s="22"/>
      <c r="W228" s="22" t="str">
        <f t="array" ref="W228">IF(A228="","",IFERROR(INDEX(PARAMETROS!$J$2:$J700,MATCH(H228,PARAMETROS!$E$2:$E700,0)),""))</f>
        <v/>
      </c>
      <c r="X228" s="23" t="str">
        <f t="shared" si="0"/>
        <v/>
      </c>
    </row>
    <row r="229" spans="1:24">
      <c r="A229" s="12"/>
      <c r="B229" s="12"/>
      <c r="C229" s="12"/>
      <c r="D229" s="12"/>
      <c r="E229" s="12"/>
      <c r="F229" s="12"/>
      <c r="G229" s="12"/>
      <c r="H229" s="12"/>
      <c r="I229" s="12"/>
      <c r="J229" s="14"/>
      <c r="K229" s="12"/>
      <c r="L229" s="14"/>
      <c r="M229" s="12"/>
      <c r="N229" s="12"/>
      <c r="O229" s="14"/>
      <c r="P229" s="12"/>
      <c r="Q229" s="15"/>
      <c r="R229" s="15"/>
      <c r="S229" s="21"/>
      <c r="T229" s="12"/>
      <c r="U229" s="12"/>
      <c r="V229" s="22"/>
      <c r="W229" s="22" t="str">
        <f t="array" ref="W229">IF(A229="","",IFERROR(INDEX(PARAMETROS!$J$2:$J700,MATCH(H229,PARAMETROS!$E$2:$E700,0)),""))</f>
        <v/>
      </c>
      <c r="X229" s="23" t="str">
        <f t="shared" si="0"/>
        <v/>
      </c>
    </row>
    <row r="230" spans="1:24">
      <c r="A230" s="12"/>
      <c r="B230" s="12"/>
      <c r="C230" s="12"/>
      <c r="D230" s="12"/>
      <c r="E230" s="12"/>
      <c r="F230" s="12"/>
      <c r="G230" s="12"/>
      <c r="H230" s="12"/>
      <c r="I230" s="12"/>
      <c r="J230" s="14"/>
      <c r="K230" s="12"/>
      <c r="L230" s="14"/>
      <c r="M230" s="12"/>
      <c r="N230" s="12"/>
      <c r="O230" s="14"/>
      <c r="P230" s="12"/>
      <c r="Q230" s="15"/>
      <c r="R230" s="15"/>
      <c r="S230" s="21"/>
      <c r="T230" s="12"/>
      <c r="U230" s="12"/>
      <c r="V230" s="22"/>
      <c r="W230" s="22" t="str">
        <f t="array" ref="W230">IF(A230="","",IFERROR(INDEX(PARAMETROS!$J$2:$J700,MATCH(H230,PARAMETROS!$E$2:$E700,0)),""))</f>
        <v/>
      </c>
      <c r="X230" s="23" t="str">
        <f t="shared" si="0"/>
        <v/>
      </c>
    </row>
    <row r="231" spans="1:24">
      <c r="A231" s="12"/>
      <c r="B231" s="12"/>
      <c r="C231" s="12"/>
      <c r="D231" s="12"/>
      <c r="E231" s="12"/>
      <c r="F231" s="12"/>
      <c r="G231" s="12"/>
      <c r="H231" s="12"/>
      <c r="I231" s="12"/>
      <c r="J231" s="14"/>
      <c r="K231" s="12"/>
      <c r="L231" s="14"/>
      <c r="M231" s="12"/>
      <c r="N231" s="12"/>
      <c r="O231" s="14"/>
      <c r="P231" s="12"/>
      <c r="Q231" s="15"/>
      <c r="R231" s="15"/>
      <c r="S231" s="21"/>
      <c r="T231" s="12"/>
      <c r="U231" s="12"/>
      <c r="V231" s="22"/>
      <c r="W231" s="22" t="str">
        <f t="array" ref="W231">IF(A231="","",IFERROR(INDEX(PARAMETROS!$J$2:$J700,MATCH(H231,PARAMETROS!$E$2:$E700,0)),""))</f>
        <v/>
      </c>
      <c r="X231" s="23" t="str">
        <f t="shared" si="0"/>
        <v/>
      </c>
    </row>
    <row r="232" spans="1:24">
      <c r="A232" s="12"/>
      <c r="B232" s="12"/>
      <c r="C232" s="12"/>
      <c r="D232" s="12"/>
      <c r="E232" s="12"/>
      <c r="F232" s="12"/>
      <c r="G232" s="12"/>
      <c r="H232" s="12"/>
      <c r="I232" s="12"/>
      <c r="J232" s="14"/>
      <c r="K232" s="12"/>
      <c r="L232" s="14"/>
      <c r="M232" s="12"/>
      <c r="N232" s="12"/>
      <c r="O232" s="14"/>
      <c r="P232" s="12"/>
      <c r="Q232" s="15"/>
      <c r="R232" s="15"/>
      <c r="S232" s="21"/>
      <c r="T232" s="12"/>
      <c r="U232" s="12"/>
      <c r="V232" s="22"/>
      <c r="W232" s="22" t="str">
        <f t="array" ref="W232">IF(A232="","",IFERROR(INDEX(PARAMETROS!$J$2:$J700,MATCH(H232,PARAMETROS!$E$2:$E700,0)),""))</f>
        <v/>
      </c>
      <c r="X232" s="23" t="str">
        <f t="shared" si="0"/>
        <v/>
      </c>
    </row>
    <row r="233" spans="1:24">
      <c r="A233" s="12"/>
      <c r="B233" s="12"/>
      <c r="C233" s="12"/>
      <c r="D233" s="12"/>
      <c r="E233" s="12"/>
      <c r="F233" s="12"/>
      <c r="G233" s="12"/>
      <c r="H233" s="12"/>
      <c r="I233" s="12"/>
      <c r="J233" s="14"/>
      <c r="K233" s="12"/>
      <c r="L233" s="14"/>
      <c r="M233" s="12"/>
      <c r="N233" s="12"/>
      <c r="O233" s="14"/>
      <c r="P233" s="12"/>
      <c r="Q233" s="15"/>
      <c r="R233" s="15"/>
      <c r="S233" s="21"/>
      <c r="T233" s="12"/>
      <c r="U233" s="12"/>
      <c r="V233" s="22"/>
      <c r="W233" s="22" t="str">
        <f t="array" ref="W233">IF(A233="","",IFERROR(INDEX(PARAMETROS!$J$2:$J700,MATCH(H233,PARAMETROS!$E$2:$E700,0)),""))</f>
        <v/>
      </c>
      <c r="X233" s="23" t="str">
        <f t="shared" si="0"/>
        <v/>
      </c>
    </row>
    <row r="234" spans="1:24">
      <c r="A234" s="12"/>
      <c r="B234" s="12"/>
      <c r="C234" s="12"/>
      <c r="D234" s="12"/>
      <c r="E234" s="12"/>
      <c r="F234" s="12"/>
      <c r="G234" s="12"/>
      <c r="H234" s="12"/>
      <c r="I234" s="12"/>
      <c r="J234" s="14"/>
      <c r="K234" s="12"/>
      <c r="L234" s="14"/>
      <c r="M234" s="12"/>
      <c r="N234" s="12"/>
      <c r="O234" s="14"/>
      <c r="P234" s="12"/>
      <c r="Q234" s="15"/>
      <c r="R234" s="15"/>
      <c r="S234" s="21"/>
      <c r="T234" s="12"/>
      <c r="U234" s="12"/>
      <c r="V234" s="22"/>
      <c r="W234" s="22" t="str">
        <f t="array" ref="W234">IF(A234="","",IFERROR(INDEX(PARAMETROS!$J$2:$J700,MATCH(H234,PARAMETROS!$E$2:$E700,0)),""))</f>
        <v/>
      </c>
      <c r="X234" s="23" t="str">
        <f t="shared" si="0"/>
        <v/>
      </c>
    </row>
    <row r="235" spans="1:24">
      <c r="A235" s="12"/>
      <c r="B235" s="12"/>
      <c r="C235" s="12"/>
      <c r="D235" s="12"/>
      <c r="E235" s="12"/>
      <c r="F235" s="12"/>
      <c r="G235" s="12"/>
      <c r="H235" s="12"/>
      <c r="I235" s="12"/>
      <c r="J235" s="14"/>
      <c r="K235" s="12"/>
      <c r="L235" s="14"/>
      <c r="M235" s="12"/>
      <c r="N235" s="12"/>
      <c r="O235" s="14"/>
      <c r="P235" s="12"/>
      <c r="Q235" s="15"/>
      <c r="R235" s="15"/>
      <c r="S235" s="21"/>
      <c r="T235" s="12"/>
      <c r="U235" s="12"/>
      <c r="V235" s="22"/>
      <c r="W235" s="22" t="str">
        <f t="array" ref="W235">IF(A235="","",IFERROR(INDEX(PARAMETROS!$J$2:$J700,MATCH(H235,PARAMETROS!$E$2:$E700,0)),""))</f>
        <v/>
      </c>
      <c r="X235" s="23" t="str">
        <f t="shared" si="0"/>
        <v/>
      </c>
    </row>
    <row r="236" spans="1:24">
      <c r="A236" s="12"/>
      <c r="B236" s="12"/>
      <c r="C236" s="12"/>
      <c r="D236" s="12"/>
      <c r="E236" s="12"/>
      <c r="F236" s="12"/>
      <c r="G236" s="12"/>
      <c r="H236" s="12"/>
      <c r="I236" s="12"/>
      <c r="J236" s="14"/>
      <c r="K236" s="12"/>
      <c r="L236" s="14"/>
      <c r="M236" s="12"/>
      <c r="N236" s="12"/>
      <c r="O236" s="14"/>
      <c r="P236" s="12"/>
      <c r="Q236" s="15"/>
      <c r="R236" s="15"/>
      <c r="S236" s="21"/>
      <c r="T236" s="12"/>
      <c r="U236" s="12"/>
      <c r="V236" s="22"/>
      <c r="W236" s="22" t="str">
        <f t="array" ref="W236">IF(A236="","",IFERROR(INDEX(PARAMETROS!$J$2:$J700,MATCH(H236,PARAMETROS!$E$2:$E700,0)),""))</f>
        <v/>
      </c>
      <c r="X236" s="23" t="str">
        <f t="shared" si="0"/>
        <v/>
      </c>
    </row>
    <row r="237" spans="1:24">
      <c r="A237" s="12"/>
      <c r="B237" s="12"/>
      <c r="C237" s="12"/>
      <c r="D237" s="12"/>
      <c r="E237" s="12"/>
      <c r="F237" s="12"/>
      <c r="G237" s="12"/>
      <c r="H237" s="12"/>
      <c r="I237" s="12"/>
      <c r="J237" s="14"/>
      <c r="K237" s="12"/>
      <c r="L237" s="14"/>
      <c r="M237" s="12"/>
      <c r="N237" s="12"/>
      <c r="O237" s="14"/>
      <c r="P237" s="12"/>
      <c r="Q237" s="15"/>
      <c r="R237" s="15"/>
      <c r="S237" s="21"/>
      <c r="T237" s="12"/>
      <c r="U237" s="12"/>
      <c r="V237" s="22"/>
      <c r="W237" s="22" t="str">
        <f t="array" ref="W237">IF(A237="","",IFERROR(INDEX(PARAMETROS!$J$2:$J700,MATCH(H237,PARAMETROS!$E$2:$E700,0)),""))</f>
        <v/>
      </c>
      <c r="X237" s="23" t="str">
        <f t="shared" si="0"/>
        <v/>
      </c>
    </row>
    <row r="238" spans="1:24">
      <c r="A238" s="12"/>
      <c r="B238" s="12"/>
      <c r="C238" s="12"/>
      <c r="D238" s="12"/>
      <c r="E238" s="12"/>
      <c r="F238" s="12"/>
      <c r="G238" s="12"/>
      <c r="H238" s="12"/>
      <c r="I238" s="12"/>
      <c r="J238" s="14"/>
      <c r="K238" s="12"/>
      <c r="L238" s="14"/>
      <c r="M238" s="12"/>
      <c r="N238" s="12"/>
      <c r="O238" s="14"/>
      <c r="P238" s="12"/>
      <c r="Q238" s="15"/>
      <c r="R238" s="15"/>
      <c r="S238" s="21"/>
      <c r="T238" s="12"/>
      <c r="U238" s="12"/>
      <c r="V238" s="22"/>
      <c r="W238" s="22" t="str">
        <f t="array" ref="W238">IF(A238="","",IFERROR(INDEX(PARAMETROS!$J$2:$J700,MATCH(H238,PARAMETROS!$E$2:$E700,0)),""))</f>
        <v/>
      </c>
      <c r="X238" s="23" t="str">
        <f t="shared" si="0"/>
        <v/>
      </c>
    </row>
    <row r="239" spans="1:24">
      <c r="A239" s="12"/>
      <c r="B239" s="12"/>
      <c r="C239" s="12"/>
      <c r="D239" s="12"/>
      <c r="E239" s="12"/>
      <c r="F239" s="12"/>
      <c r="G239" s="12"/>
      <c r="H239" s="12"/>
      <c r="I239" s="12"/>
      <c r="J239" s="14"/>
      <c r="K239" s="12"/>
      <c r="L239" s="14"/>
      <c r="M239" s="12"/>
      <c r="N239" s="12"/>
      <c r="O239" s="14"/>
      <c r="P239" s="12"/>
      <c r="Q239" s="15"/>
      <c r="R239" s="15"/>
      <c r="S239" s="21"/>
      <c r="T239" s="12"/>
      <c r="U239" s="12"/>
      <c r="V239" s="22"/>
      <c r="W239" s="22" t="str">
        <f t="array" ref="W239">IF(A239="","",IFERROR(INDEX(PARAMETROS!$J$2:$J700,MATCH(H239,PARAMETROS!$E$2:$E700,0)),""))</f>
        <v/>
      </c>
      <c r="X239" s="23" t="str">
        <f t="shared" si="0"/>
        <v/>
      </c>
    </row>
    <row r="240" spans="1:24">
      <c r="A240" s="12"/>
      <c r="B240" s="12"/>
      <c r="C240" s="12"/>
      <c r="D240" s="12"/>
      <c r="E240" s="12"/>
      <c r="F240" s="12"/>
      <c r="G240" s="12"/>
      <c r="H240" s="12"/>
      <c r="I240" s="12"/>
      <c r="J240" s="14"/>
      <c r="K240" s="12"/>
      <c r="L240" s="14"/>
      <c r="M240" s="12"/>
      <c r="N240" s="12"/>
      <c r="O240" s="14"/>
      <c r="P240" s="12"/>
      <c r="Q240" s="15"/>
      <c r="R240" s="15"/>
      <c r="S240" s="21"/>
      <c r="T240" s="12"/>
      <c r="U240" s="12"/>
      <c r="V240" s="22"/>
      <c r="W240" s="22" t="str">
        <f t="array" ref="W240">IF(A240="","",IFERROR(INDEX(PARAMETROS!$J$2:$J700,MATCH(H240,PARAMETROS!$E$2:$E700,0)),""))</f>
        <v/>
      </c>
      <c r="X240" s="23" t="str">
        <f t="shared" si="0"/>
        <v/>
      </c>
    </row>
    <row r="241" spans="1:24">
      <c r="A241" s="12"/>
      <c r="B241" s="12"/>
      <c r="C241" s="12"/>
      <c r="D241" s="12"/>
      <c r="E241" s="12"/>
      <c r="F241" s="12"/>
      <c r="G241" s="12"/>
      <c r="H241" s="12"/>
      <c r="I241" s="12"/>
      <c r="J241" s="14"/>
      <c r="K241" s="12"/>
      <c r="L241" s="14"/>
      <c r="M241" s="12"/>
      <c r="N241" s="12"/>
      <c r="O241" s="14"/>
      <c r="P241" s="12"/>
      <c r="Q241" s="15"/>
      <c r="R241" s="15"/>
      <c r="S241" s="21"/>
      <c r="T241" s="12"/>
      <c r="U241" s="12"/>
      <c r="V241" s="22"/>
      <c r="W241" s="22" t="str">
        <f t="array" ref="W241">IF(A241="","",IFERROR(INDEX(PARAMETROS!$J$2:$J700,MATCH(H241,PARAMETROS!$E$2:$E700,0)),""))</f>
        <v/>
      </c>
      <c r="X241" s="23" t="str">
        <f t="shared" si="0"/>
        <v/>
      </c>
    </row>
    <row r="242" spans="1:24">
      <c r="A242" s="12"/>
      <c r="B242" s="12"/>
      <c r="C242" s="12"/>
      <c r="D242" s="12"/>
      <c r="E242" s="12"/>
      <c r="F242" s="12"/>
      <c r="G242" s="12"/>
      <c r="H242" s="12"/>
      <c r="I242" s="12"/>
      <c r="J242" s="14"/>
      <c r="K242" s="12"/>
      <c r="L242" s="14"/>
      <c r="M242" s="12"/>
      <c r="N242" s="12"/>
      <c r="O242" s="14"/>
      <c r="P242" s="12"/>
      <c r="Q242" s="15"/>
      <c r="R242" s="15"/>
      <c r="S242" s="21"/>
      <c r="T242" s="12"/>
      <c r="U242" s="12"/>
      <c r="V242" s="22"/>
      <c r="W242" s="22" t="str">
        <f t="array" ref="W242">IF(A242="","",IFERROR(INDEX(PARAMETROS!$J$2:$J700,MATCH(H242,PARAMETROS!$E$2:$E700,0)),""))</f>
        <v/>
      </c>
      <c r="X242" s="23" t="str">
        <f t="shared" si="0"/>
        <v/>
      </c>
    </row>
    <row r="243" spans="1:24">
      <c r="A243" s="12"/>
      <c r="B243" s="12"/>
      <c r="C243" s="12"/>
      <c r="D243" s="12"/>
      <c r="E243" s="12"/>
      <c r="F243" s="12"/>
      <c r="G243" s="12"/>
      <c r="H243" s="12"/>
      <c r="I243" s="12"/>
      <c r="J243" s="14"/>
      <c r="K243" s="12"/>
      <c r="L243" s="14"/>
      <c r="M243" s="12"/>
      <c r="N243" s="12"/>
      <c r="O243" s="14"/>
      <c r="P243" s="12"/>
      <c r="Q243" s="15"/>
      <c r="R243" s="15"/>
      <c r="S243" s="21"/>
      <c r="T243" s="12"/>
      <c r="U243" s="12"/>
      <c r="V243" s="22"/>
      <c r="W243" s="22" t="str">
        <f t="array" ref="W243">IF(A243="","",IFERROR(INDEX(PARAMETROS!$J$2:$J700,MATCH(H243,PARAMETROS!$E$2:$E700,0)),""))</f>
        <v/>
      </c>
      <c r="X243" s="23" t="str">
        <f t="shared" si="0"/>
        <v/>
      </c>
    </row>
    <row r="244" spans="1:24">
      <c r="A244" s="12"/>
      <c r="B244" s="12"/>
      <c r="C244" s="12"/>
      <c r="D244" s="12"/>
      <c r="E244" s="12"/>
      <c r="F244" s="12"/>
      <c r="G244" s="12"/>
      <c r="H244" s="12"/>
      <c r="I244" s="12"/>
      <c r="J244" s="14"/>
      <c r="K244" s="12"/>
      <c r="L244" s="14"/>
      <c r="M244" s="12"/>
      <c r="N244" s="12"/>
      <c r="O244" s="14"/>
      <c r="P244" s="12"/>
      <c r="Q244" s="15"/>
      <c r="R244" s="15"/>
      <c r="S244" s="21"/>
      <c r="T244" s="12"/>
      <c r="U244" s="12"/>
      <c r="V244" s="22"/>
      <c r="W244" s="22" t="str">
        <f t="array" ref="W244">IF(A244="","",IFERROR(INDEX(PARAMETROS!$J$2:$J700,MATCH(H244,PARAMETROS!$E$2:$E700,0)),""))</f>
        <v/>
      </c>
      <c r="X244" s="23" t="str">
        <f t="shared" si="0"/>
        <v/>
      </c>
    </row>
    <row r="245" spans="1:24">
      <c r="A245" s="12"/>
      <c r="B245" s="12"/>
      <c r="C245" s="12"/>
      <c r="D245" s="12"/>
      <c r="E245" s="12"/>
      <c r="F245" s="12"/>
      <c r="G245" s="12"/>
      <c r="H245" s="12"/>
      <c r="I245" s="12"/>
      <c r="J245" s="14"/>
      <c r="K245" s="12"/>
      <c r="L245" s="14"/>
      <c r="M245" s="12"/>
      <c r="N245" s="12"/>
      <c r="O245" s="14"/>
      <c r="P245" s="12"/>
      <c r="Q245" s="15"/>
      <c r="R245" s="15"/>
      <c r="S245" s="21"/>
      <c r="T245" s="12"/>
      <c r="U245" s="12"/>
      <c r="V245" s="22"/>
      <c r="W245" s="22" t="str">
        <f t="array" ref="W245">IF(A245="","",IFERROR(INDEX(PARAMETROS!$J$2:$J700,MATCH(H245,PARAMETROS!$E$2:$E700,0)),""))</f>
        <v/>
      </c>
      <c r="X245" s="23" t="str">
        <f t="shared" si="0"/>
        <v/>
      </c>
    </row>
    <row r="246" spans="1:24">
      <c r="A246" s="12"/>
      <c r="B246" s="12"/>
      <c r="C246" s="12"/>
      <c r="D246" s="12"/>
      <c r="E246" s="12"/>
      <c r="F246" s="12"/>
      <c r="G246" s="12"/>
      <c r="H246" s="12"/>
      <c r="I246" s="12"/>
      <c r="J246" s="14"/>
      <c r="K246" s="12"/>
      <c r="L246" s="14"/>
      <c r="M246" s="12"/>
      <c r="N246" s="12"/>
      <c r="O246" s="14"/>
      <c r="P246" s="12"/>
      <c r="Q246" s="15"/>
      <c r="R246" s="15"/>
      <c r="S246" s="21"/>
      <c r="T246" s="12"/>
      <c r="U246" s="12"/>
      <c r="V246" s="22"/>
      <c r="W246" s="22" t="str">
        <f t="array" ref="W246">IF(A246="","",IFERROR(INDEX(PARAMETROS!$J$2:$J700,MATCH(H246,PARAMETROS!$E$2:$E700,0)),""))</f>
        <v/>
      </c>
      <c r="X246" s="23" t="str">
        <f t="shared" si="0"/>
        <v/>
      </c>
    </row>
    <row r="247" spans="1:24">
      <c r="A247" s="12"/>
      <c r="B247" s="12"/>
      <c r="C247" s="12"/>
      <c r="D247" s="12"/>
      <c r="E247" s="12"/>
      <c r="F247" s="12"/>
      <c r="G247" s="12"/>
      <c r="H247" s="12"/>
      <c r="I247" s="12"/>
      <c r="J247" s="14"/>
      <c r="K247" s="12"/>
      <c r="L247" s="14"/>
      <c r="M247" s="12"/>
      <c r="N247" s="12"/>
      <c r="O247" s="14"/>
      <c r="P247" s="12"/>
      <c r="Q247" s="15"/>
      <c r="R247" s="15"/>
      <c r="S247" s="21"/>
      <c r="T247" s="12"/>
      <c r="U247" s="12"/>
      <c r="V247" s="22"/>
      <c r="W247" s="22" t="str">
        <f t="array" ref="W247">IF(A247="","",IFERROR(INDEX(PARAMETROS!$J$2:$J700,MATCH(H247,PARAMETROS!$E$2:$E700,0)),""))</f>
        <v/>
      </c>
      <c r="X247" s="23" t="str">
        <f t="shared" si="0"/>
        <v/>
      </c>
    </row>
    <row r="248" spans="1:24">
      <c r="A248" s="12"/>
      <c r="B248" s="12"/>
      <c r="C248" s="12"/>
      <c r="D248" s="12"/>
      <c r="E248" s="12"/>
      <c r="F248" s="12"/>
      <c r="G248" s="12"/>
      <c r="H248" s="12"/>
      <c r="I248" s="12"/>
      <c r="J248" s="14"/>
      <c r="K248" s="12"/>
      <c r="L248" s="14"/>
      <c r="M248" s="12"/>
      <c r="N248" s="12"/>
      <c r="O248" s="14"/>
      <c r="P248" s="12"/>
      <c r="Q248" s="15"/>
      <c r="R248" s="15"/>
      <c r="S248" s="21"/>
      <c r="T248" s="12"/>
      <c r="U248" s="12"/>
      <c r="V248" s="22"/>
      <c r="W248" s="22" t="str">
        <f t="array" ref="W248">IF(A248="","",IFERROR(INDEX(PARAMETROS!$J$2:$J700,MATCH(H248,PARAMETROS!$E$2:$E700,0)),""))</f>
        <v/>
      </c>
      <c r="X248" s="23" t="str">
        <f t="shared" si="0"/>
        <v/>
      </c>
    </row>
    <row r="249" spans="1:24">
      <c r="A249" s="12"/>
      <c r="B249" s="12"/>
      <c r="C249" s="12"/>
      <c r="D249" s="12"/>
      <c r="E249" s="12"/>
      <c r="F249" s="12"/>
      <c r="G249" s="12"/>
      <c r="H249" s="12"/>
      <c r="I249" s="12"/>
      <c r="J249" s="14"/>
      <c r="K249" s="12"/>
      <c r="L249" s="14"/>
      <c r="M249" s="12"/>
      <c r="N249" s="12"/>
      <c r="O249" s="14"/>
      <c r="P249" s="12"/>
      <c r="Q249" s="15"/>
      <c r="R249" s="15"/>
      <c r="S249" s="21"/>
      <c r="T249" s="12"/>
      <c r="U249" s="12"/>
      <c r="V249" s="22"/>
      <c r="W249" s="22" t="str">
        <f t="array" ref="W249">IF(A249="","",IFERROR(INDEX(PARAMETROS!$J$2:$J700,MATCH(H249,PARAMETROS!$E$2:$E700,0)),""))</f>
        <v/>
      </c>
      <c r="X249" s="23" t="str">
        <f t="shared" si="0"/>
        <v/>
      </c>
    </row>
    <row r="250" spans="1:24">
      <c r="A250" s="12"/>
      <c r="B250" s="12"/>
      <c r="C250" s="12"/>
      <c r="D250" s="12"/>
      <c r="E250" s="12"/>
      <c r="F250" s="12"/>
      <c r="G250" s="12"/>
      <c r="H250" s="12"/>
      <c r="I250" s="12"/>
      <c r="J250" s="14"/>
      <c r="K250" s="12"/>
      <c r="L250" s="14"/>
      <c r="M250" s="12"/>
      <c r="N250" s="12"/>
      <c r="O250" s="14"/>
      <c r="P250" s="12"/>
      <c r="Q250" s="15"/>
      <c r="R250" s="15"/>
      <c r="S250" s="21"/>
      <c r="T250" s="12"/>
      <c r="U250" s="12"/>
      <c r="V250" s="22"/>
      <c r="W250" s="22" t="str">
        <f t="array" ref="W250">IF(A250="","",IFERROR(INDEX(PARAMETROS!$J$2:$J700,MATCH(H250,PARAMETROS!$E$2:$E700,0)),""))</f>
        <v/>
      </c>
      <c r="X250" s="23" t="str">
        <f t="shared" si="0"/>
        <v/>
      </c>
    </row>
    <row r="251" spans="1:24">
      <c r="A251" s="12"/>
      <c r="B251" s="12"/>
      <c r="C251" s="12"/>
      <c r="D251" s="12"/>
      <c r="E251" s="12"/>
      <c r="F251" s="12"/>
      <c r="G251" s="12"/>
      <c r="H251" s="12"/>
      <c r="I251" s="12"/>
      <c r="J251" s="14"/>
      <c r="K251" s="12"/>
      <c r="L251" s="14"/>
      <c r="M251" s="12"/>
      <c r="N251" s="12"/>
      <c r="O251" s="14"/>
      <c r="P251" s="12"/>
      <c r="Q251" s="15"/>
      <c r="R251" s="15"/>
      <c r="S251" s="21"/>
      <c r="T251" s="12"/>
      <c r="U251" s="12"/>
      <c r="V251" s="22"/>
      <c r="W251" s="22" t="str">
        <f t="array" ref="W251">IF(A251="","",IFERROR(INDEX(PARAMETROS!$J$2:$J700,MATCH(H251,PARAMETROS!$E$2:$E700,0)),""))</f>
        <v/>
      </c>
      <c r="X251" s="23" t="str">
        <f t="shared" si="0"/>
        <v/>
      </c>
    </row>
    <row r="252" spans="1:24">
      <c r="A252" s="12"/>
      <c r="B252" s="12"/>
      <c r="C252" s="12"/>
      <c r="D252" s="12"/>
      <c r="E252" s="12"/>
      <c r="F252" s="12"/>
      <c r="G252" s="12"/>
      <c r="H252" s="12"/>
      <c r="I252" s="12"/>
      <c r="J252" s="14"/>
      <c r="K252" s="12"/>
      <c r="L252" s="14"/>
      <c r="M252" s="12"/>
      <c r="N252" s="12"/>
      <c r="O252" s="14"/>
      <c r="P252" s="12"/>
      <c r="Q252" s="15"/>
      <c r="R252" s="15"/>
      <c r="S252" s="21"/>
      <c r="T252" s="12"/>
      <c r="U252" s="12"/>
      <c r="V252" s="22"/>
      <c r="W252" s="22" t="str">
        <f t="array" ref="W252">IF(A252="","",IFERROR(INDEX(PARAMETROS!$J$2:$J700,MATCH(H252,PARAMETROS!$E$2:$E700,0)),""))</f>
        <v/>
      </c>
      <c r="X252" s="23" t="str">
        <f t="shared" si="0"/>
        <v/>
      </c>
    </row>
    <row r="253" spans="1:24">
      <c r="A253" s="12"/>
      <c r="B253" s="12"/>
      <c r="C253" s="12"/>
      <c r="D253" s="12"/>
      <c r="E253" s="12"/>
      <c r="F253" s="12"/>
      <c r="G253" s="12"/>
      <c r="H253" s="12"/>
      <c r="I253" s="12"/>
      <c r="J253" s="14"/>
      <c r="K253" s="12"/>
      <c r="L253" s="14"/>
      <c r="M253" s="12"/>
      <c r="N253" s="12"/>
      <c r="O253" s="14"/>
      <c r="P253" s="12"/>
      <c r="Q253" s="15"/>
      <c r="R253" s="15"/>
      <c r="S253" s="21"/>
      <c r="T253" s="12"/>
      <c r="U253" s="12"/>
      <c r="V253" s="22"/>
      <c r="W253" s="22" t="str">
        <f t="array" ref="W253">IF(A253="","",IFERROR(INDEX(PARAMETROS!$J$2:$J700,MATCH(H253,PARAMETROS!$E$2:$E700,0)),""))</f>
        <v/>
      </c>
      <c r="X253" s="23" t="str">
        <f t="shared" si="0"/>
        <v/>
      </c>
    </row>
    <row r="254" spans="1:24">
      <c r="A254" s="12"/>
      <c r="B254" s="12"/>
      <c r="C254" s="12"/>
      <c r="D254" s="12"/>
      <c r="E254" s="12"/>
      <c r="F254" s="12"/>
      <c r="G254" s="12"/>
      <c r="H254" s="12"/>
      <c r="I254" s="12"/>
      <c r="J254" s="14"/>
      <c r="K254" s="12"/>
      <c r="L254" s="14"/>
      <c r="M254" s="12"/>
      <c r="N254" s="12"/>
      <c r="O254" s="14"/>
      <c r="P254" s="12"/>
      <c r="Q254" s="15"/>
      <c r="R254" s="15"/>
      <c r="S254" s="21"/>
      <c r="T254" s="12"/>
      <c r="U254" s="12"/>
      <c r="V254" s="22"/>
      <c r="W254" s="22" t="str">
        <f t="array" ref="W254">IF(A254="","",IFERROR(INDEX(PARAMETROS!$J$2:$J700,MATCH(H254,PARAMETROS!$E$2:$E700,0)),""))</f>
        <v/>
      </c>
      <c r="X254" s="23" t="str">
        <f t="shared" si="0"/>
        <v/>
      </c>
    </row>
    <row r="255" spans="1:24">
      <c r="A255" s="12"/>
      <c r="B255" s="12"/>
      <c r="C255" s="12"/>
      <c r="D255" s="12"/>
      <c r="E255" s="12"/>
      <c r="F255" s="12"/>
      <c r="G255" s="12"/>
      <c r="H255" s="12"/>
      <c r="I255" s="12"/>
      <c r="J255" s="14"/>
      <c r="K255" s="12"/>
      <c r="L255" s="14"/>
      <c r="M255" s="12"/>
      <c r="N255" s="12"/>
      <c r="O255" s="14"/>
      <c r="P255" s="12"/>
      <c r="Q255" s="15"/>
      <c r="R255" s="15"/>
      <c r="S255" s="21"/>
      <c r="T255" s="12"/>
      <c r="U255" s="12"/>
      <c r="V255" s="22"/>
      <c r="W255" s="22" t="str">
        <f t="array" ref="W255">IF(A255="","",IFERROR(INDEX(PARAMETROS!$J$2:$J700,MATCH(H255,PARAMETROS!$E$2:$E700,0)),""))</f>
        <v/>
      </c>
      <c r="X255" s="23" t="str">
        <f t="shared" si="0"/>
        <v/>
      </c>
    </row>
    <row r="256" spans="1:24">
      <c r="A256" s="12"/>
      <c r="B256" s="12"/>
      <c r="C256" s="12"/>
      <c r="D256" s="12"/>
      <c r="E256" s="12"/>
      <c r="F256" s="12"/>
      <c r="G256" s="12"/>
      <c r="H256" s="12"/>
      <c r="I256" s="12"/>
      <c r="J256" s="14"/>
      <c r="K256" s="12"/>
      <c r="L256" s="14"/>
      <c r="M256" s="12"/>
      <c r="N256" s="12"/>
      <c r="O256" s="14"/>
      <c r="P256" s="12"/>
      <c r="Q256" s="15"/>
      <c r="R256" s="15"/>
      <c r="S256" s="21"/>
      <c r="T256" s="12"/>
      <c r="U256" s="12"/>
      <c r="V256" s="22"/>
      <c r="W256" s="22" t="str">
        <f t="array" ref="W256">IF(A256="","",IFERROR(INDEX(PARAMETROS!$J$2:$J700,MATCH(H256,PARAMETROS!$E$2:$E700,0)),""))</f>
        <v/>
      </c>
      <c r="X256" s="23" t="str">
        <f t="shared" si="0"/>
        <v/>
      </c>
    </row>
    <row r="257" spans="1:24">
      <c r="A257" s="12"/>
      <c r="B257" s="12"/>
      <c r="C257" s="12"/>
      <c r="D257" s="12"/>
      <c r="E257" s="12"/>
      <c r="F257" s="12"/>
      <c r="G257" s="12"/>
      <c r="H257" s="12"/>
      <c r="I257" s="12"/>
      <c r="J257" s="14"/>
      <c r="K257" s="12"/>
      <c r="L257" s="14"/>
      <c r="M257" s="12"/>
      <c r="N257" s="12"/>
      <c r="O257" s="14"/>
      <c r="P257" s="12"/>
      <c r="Q257" s="15"/>
      <c r="R257" s="15"/>
      <c r="S257" s="21"/>
      <c r="T257" s="12"/>
      <c r="U257" s="12"/>
      <c r="V257" s="22"/>
      <c r="W257" s="22" t="str">
        <f t="array" ref="W257">IF(A257="","",IFERROR(INDEX(PARAMETROS!$J$2:$J700,MATCH(H257,PARAMETROS!$E$2:$E700,0)),""))</f>
        <v/>
      </c>
      <c r="X257" s="23" t="str">
        <f t="shared" ref="X257:X511" si="1">IF(A257="","",Q257/T257)</f>
        <v/>
      </c>
    </row>
    <row r="258" spans="1:24">
      <c r="A258" s="12"/>
      <c r="B258" s="12"/>
      <c r="C258" s="12"/>
      <c r="D258" s="12"/>
      <c r="E258" s="12"/>
      <c r="F258" s="12"/>
      <c r="G258" s="12"/>
      <c r="H258" s="12"/>
      <c r="I258" s="12"/>
      <c r="J258" s="14"/>
      <c r="K258" s="12"/>
      <c r="L258" s="14"/>
      <c r="M258" s="12"/>
      <c r="N258" s="12"/>
      <c r="O258" s="14"/>
      <c r="P258" s="12"/>
      <c r="Q258" s="15"/>
      <c r="R258" s="15"/>
      <c r="S258" s="21"/>
      <c r="T258" s="12"/>
      <c r="U258" s="12"/>
      <c r="V258" s="22"/>
      <c r="W258" s="22" t="str">
        <f t="array" ref="W258">IF(A258="","",IFERROR(INDEX(PARAMETROS!$J$2:$J700,MATCH(H258,PARAMETROS!$E$2:$E700,0)),""))</f>
        <v/>
      </c>
      <c r="X258" s="23" t="str">
        <f t="shared" si="1"/>
        <v/>
      </c>
    </row>
    <row r="259" spans="1:24">
      <c r="A259" s="12"/>
      <c r="B259" s="12"/>
      <c r="C259" s="12"/>
      <c r="D259" s="12"/>
      <c r="E259" s="12"/>
      <c r="F259" s="12"/>
      <c r="G259" s="12"/>
      <c r="H259" s="12"/>
      <c r="I259" s="12"/>
      <c r="J259" s="14"/>
      <c r="K259" s="12"/>
      <c r="L259" s="14"/>
      <c r="M259" s="12"/>
      <c r="N259" s="12"/>
      <c r="O259" s="14"/>
      <c r="P259" s="12"/>
      <c r="Q259" s="15"/>
      <c r="R259" s="15"/>
      <c r="S259" s="21"/>
      <c r="T259" s="12"/>
      <c r="U259" s="12"/>
      <c r="V259" s="22"/>
      <c r="W259" s="22" t="str">
        <f t="array" ref="W259">IF(A259="","",IFERROR(INDEX(PARAMETROS!$J$2:$J700,MATCH(H259,PARAMETROS!$E$2:$E700,0)),""))</f>
        <v/>
      </c>
      <c r="X259" s="23" t="str">
        <f t="shared" si="1"/>
        <v/>
      </c>
    </row>
    <row r="260" spans="1:24">
      <c r="A260" s="12"/>
      <c r="B260" s="12"/>
      <c r="C260" s="12"/>
      <c r="D260" s="12"/>
      <c r="E260" s="12"/>
      <c r="F260" s="12"/>
      <c r="G260" s="12"/>
      <c r="H260" s="12"/>
      <c r="I260" s="12"/>
      <c r="J260" s="14"/>
      <c r="K260" s="12"/>
      <c r="L260" s="14"/>
      <c r="M260" s="12"/>
      <c r="N260" s="12"/>
      <c r="O260" s="14"/>
      <c r="P260" s="12"/>
      <c r="Q260" s="15"/>
      <c r="R260" s="15"/>
      <c r="S260" s="21"/>
      <c r="T260" s="12"/>
      <c r="U260" s="12"/>
      <c r="V260" s="22"/>
      <c r="W260" s="22" t="str">
        <f t="array" ref="W260">IF(A260="","",IFERROR(INDEX(PARAMETROS!$J$2:$J700,MATCH(H260,PARAMETROS!$E$2:$E700,0)),""))</f>
        <v/>
      </c>
      <c r="X260" s="23" t="str">
        <f t="shared" si="1"/>
        <v/>
      </c>
    </row>
    <row r="261" spans="1:24">
      <c r="A261" s="12"/>
      <c r="B261" s="12"/>
      <c r="C261" s="12"/>
      <c r="D261" s="12"/>
      <c r="E261" s="12"/>
      <c r="F261" s="12"/>
      <c r="G261" s="12"/>
      <c r="H261" s="12"/>
      <c r="I261" s="12"/>
      <c r="J261" s="14"/>
      <c r="K261" s="12"/>
      <c r="L261" s="14"/>
      <c r="M261" s="12"/>
      <c r="N261" s="12"/>
      <c r="O261" s="14"/>
      <c r="P261" s="12"/>
      <c r="Q261" s="15"/>
      <c r="R261" s="15"/>
      <c r="S261" s="21"/>
      <c r="T261" s="12"/>
      <c r="U261" s="12"/>
      <c r="V261" s="22"/>
      <c r="W261" s="22" t="str">
        <f t="array" ref="W261">IF(A261="","",IFERROR(INDEX(PARAMETROS!$J$2:$J700,MATCH(H261,PARAMETROS!$E$2:$E700,0)),""))</f>
        <v/>
      </c>
      <c r="X261" s="23" t="str">
        <f t="shared" si="1"/>
        <v/>
      </c>
    </row>
    <row r="262" spans="1:24">
      <c r="A262" s="12"/>
      <c r="B262" s="12"/>
      <c r="C262" s="12"/>
      <c r="D262" s="12"/>
      <c r="E262" s="12"/>
      <c r="F262" s="12"/>
      <c r="G262" s="12"/>
      <c r="H262" s="12"/>
      <c r="I262" s="12"/>
      <c r="J262" s="14"/>
      <c r="K262" s="12"/>
      <c r="L262" s="14"/>
      <c r="M262" s="12"/>
      <c r="N262" s="12"/>
      <c r="O262" s="14"/>
      <c r="P262" s="12"/>
      <c r="Q262" s="15"/>
      <c r="R262" s="15"/>
      <c r="S262" s="21"/>
      <c r="T262" s="12"/>
      <c r="U262" s="12"/>
      <c r="V262" s="22"/>
      <c r="W262" s="22" t="str">
        <f t="array" ref="W262">IF(A262="","",IFERROR(INDEX(PARAMETROS!$J$2:$J700,MATCH(H262,PARAMETROS!$E$2:$E700,0)),""))</f>
        <v/>
      </c>
      <c r="X262" s="23" t="str">
        <f t="shared" si="1"/>
        <v/>
      </c>
    </row>
    <row r="263" spans="1:24">
      <c r="A263" s="12"/>
      <c r="B263" s="12"/>
      <c r="C263" s="12"/>
      <c r="D263" s="12"/>
      <c r="E263" s="12"/>
      <c r="F263" s="12"/>
      <c r="G263" s="12"/>
      <c r="H263" s="12"/>
      <c r="I263" s="12"/>
      <c r="J263" s="14"/>
      <c r="K263" s="12"/>
      <c r="L263" s="14"/>
      <c r="M263" s="12"/>
      <c r="N263" s="12"/>
      <c r="O263" s="14"/>
      <c r="P263" s="12"/>
      <c r="Q263" s="15"/>
      <c r="R263" s="15"/>
      <c r="S263" s="21"/>
      <c r="T263" s="12"/>
      <c r="U263" s="12"/>
      <c r="V263" s="22"/>
      <c r="W263" s="22" t="str">
        <f t="array" ref="W263">IF(A263="","",IFERROR(INDEX(PARAMETROS!$J$2:$J700,MATCH(H263,PARAMETROS!$E$2:$E700,0)),""))</f>
        <v/>
      </c>
      <c r="X263" s="23" t="str">
        <f t="shared" si="1"/>
        <v/>
      </c>
    </row>
    <row r="264" spans="1:24">
      <c r="A264" s="12"/>
      <c r="B264" s="12"/>
      <c r="C264" s="12"/>
      <c r="D264" s="12"/>
      <c r="E264" s="12"/>
      <c r="F264" s="12"/>
      <c r="G264" s="12"/>
      <c r="H264" s="12"/>
      <c r="I264" s="12"/>
      <c r="J264" s="14"/>
      <c r="K264" s="12"/>
      <c r="L264" s="14"/>
      <c r="M264" s="12"/>
      <c r="N264" s="12"/>
      <c r="O264" s="14"/>
      <c r="P264" s="12"/>
      <c r="Q264" s="15"/>
      <c r="R264" s="15"/>
      <c r="S264" s="21"/>
      <c r="T264" s="12"/>
      <c r="U264" s="12"/>
      <c r="V264" s="22"/>
      <c r="W264" s="22" t="str">
        <f t="array" ref="W264">IF(A264="","",IFERROR(INDEX(PARAMETROS!$J$2:$J700,MATCH(H264,PARAMETROS!$E$2:$E700,0)),""))</f>
        <v/>
      </c>
      <c r="X264" s="23" t="str">
        <f t="shared" si="1"/>
        <v/>
      </c>
    </row>
    <row r="265" spans="1:24">
      <c r="A265" s="12"/>
      <c r="B265" s="12"/>
      <c r="C265" s="12"/>
      <c r="D265" s="12"/>
      <c r="E265" s="12"/>
      <c r="F265" s="12"/>
      <c r="G265" s="12"/>
      <c r="H265" s="12"/>
      <c r="I265" s="12"/>
      <c r="J265" s="14"/>
      <c r="K265" s="12"/>
      <c r="L265" s="14"/>
      <c r="M265" s="12"/>
      <c r="N265" s="12"/>
      <c r="O265" s="14"/>
      <c r="P265" s="12"/>
      <c r="Q265" s="15"/>
      <c r="R265" s="15"/>
      <c r="S265" s="21"/>
      <c r="T265" s="12"/>
      <c r="U265" s="12"/>
      <c r="V265" s="22"/>
      <c r="W265" s="22" t="str">
        <f t="array" ref="W265">IF(A265="","",IFERROR(INDEX(PARAMETROS!$J$2:$J700,MATCH(H265,PARAMETROS!$E$2:$E700,0)),""))</f>
        <v/>
      </c>
      <c r="X265" s="23" t="str">
        <f t="shared" si="1"/>
        <v/>
      </c>
    </row>
    <row r="266" spans="1:24">
      <c r="A266" s="12"/>
      <c r="B266" s="12"/>
      <c r="C266" s="12"/>
      <c r="D266" s="12"/>
      <c r="E266" s="12"/>
      <c r="F266" s="12"/>
      <c r="G266" s="12"/>
      <c r="H266" s="12"/>
      <c r="I266" s="12"/>
      <c r="J266" s="14"/>
      <c r="K266" s="12"/>
      <c r="L266" s="14"/>
      <c r="M266" s="12"/>
      <c r="N266" s="12"/>
      <c r="O266" s="14"/>
      <c r="P266" s="12"/>
      <c r="Q266" s="15"/>
      <c r="R266" s="15"/>
      <c r="S266" s="21"/>
      <c r="T266" s="12"/>
      <c r="U266" s="12"/>
      <c r="V266" s="22"/>
      <c r="W266" s="22" t="str">
        <f t="array" ref="W266">IF(A266="","",IFERROR(INDEX(PARAMETROS!$J$2:$J700,MATCH(H266,PARAMETROS!$E$2:$E700,0)),""))</f>
        <v/>
      </c>
      <c r="X266" s="23" t="str">
        <f t="shared" si="1"/>
        <v/>
      </c>
    </row>
    <row r="267" spans="1:24">
      <c r="A267" s="12"/>
      <c r="B267" s="12"/>
      <c r="C267" s="12"/>
      <c r="D267" s="12"/>
      <c r="E267" s="12"/>
      <c r="F267" s="12"/>
      <c r="G267" s="12"/>
      <c r="H267" s="12"/>
      <c r="I267" s="12"/>
      <c r="J267" s="14"/>
      <c r="K267" s="12"/>
      <c r="L267" s="14"/>
      <c r="M267" s="12"/>
      <c r="N267" s="12"/>
      <c r="O267" s="14"/>
      <c r="P267" s="12"/>
      <c r="Q267" s="15"/>
      <c r="R267" s="15"/>
      <c r="S267" s="21"/>
      <c r="T267" s="12"/>
      <c r="U267" s="12"/>
      <c r="V267" s="22"/>
      <c r="W267" s="22" t="str">
        <f t="array" ref="W267">IF(A267="","",IFERROR(INDEX(PARAMETROS!$J$2:$J700,MATCH(H267,PARAMETROS!$E$2:$E700,0)),""))</f>
        <v/>
      </c>
      <c r="X267" s="23" t="str">
        <f t="shared" si="1"/>
        <v/>
      </c>
    </row>
    <row r="268" spans="1:24">
      <c r="A268" s="12"/>
      <c r="B268" s="12"/>
      <c r="C268" s="12"/>
      <c r="D268" s="12"/>
      <c r="E268" s="12"/>
      <c r="F268" s="12"/>
      <c r="G268" s="12"/>
      <c r="H268" s="12"/>
      <c r="I268" s="12"/>
      <c r="J268" s="14"/>
      <c r="K268" s="12"/>
      <c r="L268" s="14"/>
      <c r="M268" s="12"/>
      <c r="N268" s="12"/>
      <c r="O268" s="14"/>
      <c r="P268" s="12"/>
      <c r="Q268" s="15"/>
      <c r="R268" s="15"/>
      <c r="S268" s="21"/>
      <c r="T268" s="12"/>
      <c r="U268" s="12"/>
      <c r="V268" s="22"/>
      <c r="W268" s="22" t="str">
        <f t="array" ref="W268">IF(A268="","",IFERROR(INDEX(PARAMETROS!$J$2:$J700,MATCH(H268,PARAMETROS!$E$2:$E700,0)),""))</f>
        <v/>
      </c>
      <c r="X268" s="23" t="str">
        <f t="shared" si="1"/>
        <v/>
      </c>
    </row>
    <row r="269" spans="1:24">
      <c r="A269" s="12"/>
      <c r="B269" s="12"/>
      <c r="C269" s="12"/>
      <c r="D269" s="12"/>
      <c r="E269" s="12"/>
      <c r="F269" s="12"/>
      <c r="G269" s="12"/>
      <c r="H269" s="12"/>
      <c r="I269" s="12"/>
      <c r="J269" s="14"/>
      <c r="K269" s="12"/>
      <c r="L269" s="14"/>
      <c r="M269" s="12"/>
      <c r="N269" s="12"/>
      <c r="O269" s="14"/>
      <c r="P269" s="12"/>
      <c r="Q269" s="15"/>
      <c r="R269" s="15"/>
      <c r="S269" s="21"/>
      <c r="T269" s="12"/>
      <c r="U269" s="12"/>
      <c r="V269" s="22"/>
      <c r="W269" s="22" t="str">
        <f t="array" ref="W269">IF(A269="","",IFERROR(INDEX(PARAMETROS!$J$2:$J700,MATCH(H269,PARAMETROS!$E$2:$E700,0)),""))</f>
        <v/>
      </c>
      <c r="X269" s="23" t="str">
        <f t="shared" si="1"/>
        <v/>
      </c>
    </row>
    <row r="270" spans="1:24">
      <c r="A270" s="12"/>
      <c r="B270" s="12"/>
      <c r="C270" s="12"/>
      <c r="D270" s="12"/>
      <c r="E270" s="12"/>
      <c r="F270" s="12"/>
      <c r="G270" s="12"/>
      <c r="H270" s="12"/>
      <c r="I270" s="12"/>
      <c r="J270" s="14"/>
      <c r="K270" s="12"/>
      <c r="L270" s="14"/>
      <c r="M270" s="12"/>
      <c r="N270" s="12"/>
      <c r="O270" s="14"/>
      <c r="P270" s="12"/>
      <c r="Q270" s="15"/>
      <c r="R270" s="15"/>
      <c r="S270" s="21"/>
      <c r="T270" s="12"/>
      <c r="U270" s="12"/>
      <c r="V270" s="22"/>
      <c r="W270" s="22" t="str">
        <f t="array" ref="W270">IF(A270="","",IFERROR(INDEX(PARAMETROS!$J$2:$J700,MATCH(H270,PARAMETROS!$E$2:$E700,0)),""))</f>
        <v/>
      </c>
      <c r="X270" s="23" t="str">
        <f t="shared" si="1"/>
        <v/>
      </c>
    </row>
    <row r="271" spans="1:24">
      <c r="A271" s="12"/>
      <c r="B271" s="12"/>
      <c r="C271" s="12"/>
      <c r="D271" s="12"/>
      <c r="E271" s="12"/>
      <c r="F271" s="12"/>
      <c r="G271" s="12"/>
      <c r="H271" s="12"/>
      <c r="I271" s="12"/>
      <c r="J271" s="14"/>
      <c r="K271" s="12"/>
      <c r="L271" s="14"/>
      <c r="M271" s="12"/>
      <c r="N271" s="12"/>
      <c r="O271" s="14"/>
      <c r="P271" s="12"/>
      <c r="Q271" s="15"/>
      <c r="R271" s="15"/>
      <c r="S271" s="21"/>
      <c r="T271" s="12"/>
      <c r="U271" s="12"/>
      <c r="V271" s="22"/>
      <c r="W271" s="22" t="str">
        <f t="array" ref="W271">IF(A271="","",IFERROR(INDEX(PARAMETROS!$J$2:$J700,MATCH(H271,PARAMETROS!$E$2:$E700,0)),""))</f>
        <v/>
      </c>
      <c r="X271" s="23" t="str">
        <f t="shared" si="1"/>
        <v/>
      </c>
    </row>
    <row r="272" spans="1:24">
      <c r="A272" s="12"/>
      <c r="B272" s="12"/>
      <c r="C272" s="12"/>
      <c r="D272" s="12"/>
      <c r="E272" s="12"/>
      <c r="F272" s="12"/>
      <c r="G272" s="12"/>
      <c r="H272" s="12"/>
      <c r="I272" s="12"/>
      <c r="J272" s="14"/>
      <c r="K272" s="12"/>
      <c r="L272" s="14"/>
      <c r="M272" s="12"/>
      <c r="N272" s="12"/>
      <c r="O272" s="14"/>
      <c r="P272" s="12"/>
      <c r="Q272" s="15"/>
      <c r="R272" s="15"/>
      <c r="S272" s="21"/>
      <c r="T272" s="12"/>
      <c r="U272" s="12"/>
      <c r="V272" s="22"/>
      <c r="W272" s="22" t="str">
        <f t="array" ref="W272">IF(A272="","",IFERROR(INDEX(PARAMETROS!$J$2:$J700,MATCH(H272,PARAMETROS!$E$2:$E700,0)),""))</f>
        <v/>
      </c>
      <c r="X272" s="23" t="str">
        <f t="shared" si="1"/>
        <v/>
      </c>
    </row>
    <row r="273" spans="1:24">
      <c r="A273" s="12"/>
      <c r="B273" s="12"/>
      <c r="C273" s="12"/>
      <c r="D273" s="12"/>
      <c r="E273" s="12"/>
      <c r="F273" s="12"/>
      <c r="G273" s="12"/>
      <c r="H273" s="12"/>
      <c r="I273" s="12"/>
      <c r="J273" s="14"/>
      <c r="K273" s="12"/>
      <c r="L273" s="14"/>
      <c r="M273" s="12"/>
      <c r="N273" s="12"/>
      <c r="O273" s="14"/>
      <c r="P273" s="12"/>
      <c r="Q273" s="15"/>
      <c r="R273" s="15"/>
      <c r="S273" s="21"/>
      <c r="T273" s="12"/>
      <c r="U273" s="12"/>
      <c r="V273" s="22"/>
      <c r="W273" s="22" t="str">
        <f t="array" ref="W273">IF(A273="","",IFERROR(INDEX(PARAMETROS!$J$2:$J700,MATCH(H273,PARAMETROS!$E$2:$E700,0)),""))</f>
        <v/>
      </c>
      <c r="X273" s="23" t="str">
        <f t="shared" si="1"/>
        <v/>
      </c>
    </row>
    <row r="274" spans="1:24">
      <c r="A274" s="12"/>
      <c r="B274" s="12"/>
      <c r="C274" s="12"/>
      <c r="D274" s="12"/>
      <c r="E274" s="12"/>
      <c r="F274" s="12"/>
      <c r="G274" s="12"/>
      <c r="H274" s="12"/>
      <c r="I274" s="12"/>
      <c r="J274" s="14"/>
      <c r="K274" s="12"/>
      <c r="L274" s="14"/>
      <c r="M274" s="12"/>
      <c r="N274" s="12"/>
      <c r="O274" s="14"/>
      <c r="P274" s="12"/>
      <c r="Q274" s="15"/>
      <c r="R274" s="15"/>
      <c r="S274" s="21"/>
      <c r="T274" s="12"/>
      <c r="U274" s="12"/>
      <c r="V274" s="22"/>
      <c r="W274" s="22" t="str">
        <f t="array" ref="W274">IF(A274="","",IFERROR(INDEX(PARAMETROS!$J$2:$J700,MATCH(H274,PARAMETROS!$E$2:$E700,0)),""))</f>
        <v/>
      </c>
      <c r="X274" s="23" t="str">
        <f t="shared" si="1"/>
        <v/>
      </c>
    </row>
    <row r="275" spans="1:24">
      <c r="A275" s="12"/>
      <c r="B275" s="12"/>
      <c r="C275" s="12"/>
      <c r="D275" s="12"/>
      <c r="E275" s="12"/>
      <c r="F275" s="12"/>
      <c r="G275" s="12"/>
      <c r="H275" s="12"/>
      <c r="I275" s="12"/>
      <c r="J275" s="14"/>
      <c r="K275" s="12"/>
      <c r="L275" s="14"/>
      <c r="M275" s="12"/>
      <c r="N275" s="12"/>
      <c r="O275" s="14"/>
      <c r="P275" s="12"/>
      <c r="Q275" s="15"/>
      <c r="R275" s="15"/>
      <c r="S275" s="21"/>
      <c r="T275" s="12"/>
      <c r="U275" s="12"/>
      <c r="V275" s="22"/>
      <c r="W275" s="22" t="str">
        <f t="array" ref="W275">IF(A275="","",IFERROR(INDEX(PARAMETROS!$J$2:$J700,MATCH(H275,PARAMETROS!$E$2:$E700,0)),""))</f>
        <v/>
      </c>
      <c r="X275" s="23" t="str">
        <f t="shared" si="1"/>
        <v/>
      </c>
    </row>
    <row r="276" spans="1:24">
      <c r="A276" s="12"/>
      <c r="B276" s="12"/>
      <c r="C276" s="12"/>
      <c r="D276" s="12"/>
      <c r="E276" s="12"/>
      <c r="F276" s="12"/>
      <c r="G276" s="12"/>
      <c r="H276" s="12"/>
      <c r="I276" s="12"/>
      <c r="J276" s="14"/>
      <c r="K276" s="12"/>
      <c r="L276" s="14"/>
      <c r="M276" s="12"/>
      <c r="N276" s="12"/>
      <c r="O276" s="14"/>
      <c r="P276" s="12"/>
      <c r="Q276" s="15"/>
      <c r="R276" s="15"/>
      <c r="S276" s="21"/>
      <c r="T276" s="12"/>
      <c r="U276" s="12"/>
      <c r="V276" s="22"/>
      <c r="W276" s="22" t="str">
        <f t="array" ref="W276">IF(A276="","",IFERROR(INDEX(PARAMETROS!$J$2:$J700,MATCH(H276,PARAMETROS!$E$2:$E700,0)),""))</f>
        <v/>
      </c>
      <c r="X276" s="23" t="str">
        <f t="shared" si="1"/>
        <v/>
      </c>
    </row>
    <row r="277" spans="1:24">
      <c r="A277" s="12"/>
      <c r="B277" s="12"/>
      <c r="C277" s="12"/>
      <c r="D277" s="12"/>
      <c r="E277" s="12"/>
      <c r="F277" s="12"/>
      <c r="G277" s="12"/>
      <c r="H277" s="12"/>
      <c r="I277" s="12"/>
      <c r="J277" s="14"/>
      <c r="K277" s="12"/>
      <c r="L277" s="14"/>
      <c r="M277" s="12"/>
      <c r="N277" s="12"/>
      <c r="O277" s="14"/>
      <c r="P277" s="12"/>
      <c r="Q277" s="15"/>
      <c r="R277" s="15"/>
      <c r="S277" s="21"/>
      <c r="T277" s="12"/>
      <c r="U277" s="12"/>
      <c r="V277" s="22"/>
      <c r="W277" s="22" t="str">
        <f t="array" ref="W277">IF(A277="","",IFERROR(INDEX(PARAMETROS!$J$2:$J700,MATCH(H277,PARAMETROS!$E$2:$E700,0)),""))</f>
        <v/>
      </c>
      <c r="X277" s="23" t="str">
        <f t="shared" si="1"/>
        <v/>
      </c>
    </row>
    <row r="278" spans="1:24">
      <c r="A278" s="12"/>
      <c r="B278" s="12"/>
      <c r="C278" s="12"/>
      <c r="D278" s="12"/>
      <c r="E278" s="12"/>
      <c r="F278" s="12"/>
      <c r="G278" s="12"/>
      <c r="H278" s="12"/>
      <c r="I278" s="12"/>
      <c r="J278" s="14"/>
      <c r="K278" s="12"/>
      <c r="L278" s="14"/>
      <c r="M278" s="12"/>
      <c r="N278" s="12"/>
      <c r="O278" s="14"/>
      <c r="P278" s="12"/>
      <c r="Q278" s="15"/>
      <c r="R278" s="15"/>
      <c r="S278" s="21"/>
      <c r="T278" s="12"/>
      <c r="U278" s="12"/>
      <c r="V278" s="22"/>
      <c r="W278" s="22" t="str">
        <f t="array" ref="W278">IF(A278="","",IFERROR(INDEX(PARAMETROS!$J$2:$J700,MATCH(H278,PARAMETROS!$E$2:$E700,0)),""))</f>
        <v/>
      </c>
      <c r="X278" s="23" t="str">
        <f t="shared" si="1"/>
        <v/>
      </c>
    </row>
    <row r="279" spans="1:24">
      <c r="A279" s="12"/>
      <c r="B279" s="12"/>
      <c r="C279" s="12"/>
      <c r="D279" s="12"/>
      <c r="E279" s="12"/>
      <c r="F279" s="12"/>
      <c r="G279" s="12"/>
      <c r="H279" s="12"/>
      <c r="I279" s="12"/>
      <c r="J279" s="14"/>
      <c r="K279" s="12"/>
      <c r="L279" s="14"/>
      <c r="M279" s="12"/>
      <c r="N279" s="12"/>
      <c r="O279" s="14"/>
      <c r="P279" s="12"/>
      <c r="Q279" s="15"/>
      <c r="R279" s="15"/>
      <c r="S279" s="21"/>
      <c r="T279" s="12"/>
      <c r="U279" s="12"/>
      <c r="V279" s="22"/>
      <c r="W279" s="22" t="str">
        <f t="array" ref="W279">IF(A279="","",IFERROR(INDEX(PARAMETROS!$J$2:$J700,MATCH(H279,PARAMETROS!$E$2:$E700,0)),""))</f>
        <v/>
      </c>
      <c r="X279" s="23" t="str">
        <f t="shared" si="1"/>
        <v/>
      </c>
    </row>
    <row r="280" spans="1:24">
      <c r="A280" s="12"/>
      <c r="B280" s="12"/>
      <c r="C280" s="12"/>
      <c r="D280" s="12"/>
      <c r="E280" s="12"/>
      <c r="F280" s="12"/>
      <c r="G280" s="12"/>
      <c r="H280" s="12"/>
      <c r="I280" s="12"/>
      <c r="J280" s="14"/>
      <c r="K280" s="12"/>
      <c r="L280" s="14"/>
      <c r="M280" s="12"/>
      <c r="N280" s="12"/>
      <c r="O280" s="14"/>
      <c r="P280" s="12"/>
      <c r="Q280" s="15"/>
      <c r="R280" s="15"/>
      <c r="S280" s="21"/>
      <c r="T280" s="12"/>
      <c r="U280" s="12"/>
      <c r="V280" s="22"/>
      <c r="W280" s="22" t="str">
        <f t="array" ref="W280">IF(A280="","",IFERROR(INDEX(PARAMETROS!$J$2:$J700,MATCH(H280,PARAMETROS!$E$2:$E700,0)),""))</f>
        <v/>
      </c>
      <c r="X280" s="23" t="str">
        <f t="shared" si="1"/>
        <v/>
      </c>
    </row>
    <row r="281" spans="1:24">
      <c r="A281" s="12"/>
      <c r="B281" s="12"/>
      <c r="C281" s="12"/>
      <c r="D281" s="12"/>
      <c r="E281" s="12"/>
      <c r="F281" s="12"/>
      <c r="G281" s="12"/>
      <c r="H281" s="12"/>
      <c r="I281" s="12"/>
      <c r="J281" s="14"/>
      <c r="K281" s="12"/>
      <c r="L281" s="14"/>
      <c r="M281" s="12"/>
      <c r="N281" s="12"/>
      <c r="O281" s="14"/>
      <c r="P281" s="12"/>
      <c r="Q281" s="15"/>
      <c r="R281" s="15"/>
      <c r="S281" s="21"/>
      <c r="T281" s="12"/>
      <c r="U281" s="12"/>
      <c r="V281" s="22"/>
      <c r="W281" s="22" t="str">
        <f t="array" ref="W281">IF(A281="","",IFERROR(INDEX(PARAMETROS!$J$2:$J700,MATCH(H281,PARAMETROS!$E$2:$E700,0)),""))</f>
        <v/>
      </c>
      <c r="X281" s="23" t="str">
        <f t="shared" si="1"/>
        <v/>
      </c>
    </row>
    <row r="282" spans="1:24">
      <c r="A282" s="12"/>
      <c r="B282" s="12"/>
      <c r="C282" s="12"/>
      <c r="D282" s="12"/>
      <c r="E282" s="12"/>
      <c r="F282" s="12"/>
      <c r="G282" s="12"/>
      <c r="H282" s="12"/>
      <c r="I282" s="12"/>
      <c r="J282" s="14"/>
      <c r="K282" s="12"/>
      <c r="L282" s="14"/>
      <c r="M282" s="12"/>
      <c r="N282" s="12"/>
      <c r="O282" s="14"/>
      <c r="P282" s="12"/>
      <c r="Q282" s="15"/>
      <c r="R282" s="15"/>
      <c r="S282" s="21"/>
      <c r="T282" s="12"/>
      <c r="U282" s="12"/>
      <c r="V282" s="22"/>
      <c r="W282" s="22" t="str">
        <f t="array" ref="W282">IF(A282="","",IFERROR(INDEX(PARAMETROS!$J$2:$J700,MATCH(H282,PARAMETROS!$E$2:$E700,0)),""))</f>
        <v/>
      </c>
      <c r="X282" s="23" t="str">
        <f t="shared" si="1"/>
        <v/>
      </c>
    </row>
    <row r="283" spans="1:24">
      <c r="A283" s="12"/>
      <c r="B283" s="12"/>
      <c r="C283" s="12"/>
      <c r="D283" s="12"/>
      <c r="E283" s="12"/>
      <c r="F283" s="12"/>
      <c r="G283" s="12"/>
      <c r="H283" s="12"/>
      <c r="I283" s="12"/>
      <c r="J283" s="14"/>
      <c r="K283" s="12"/>
      <c r="L283" s="14"/>
      <c r="M283" s="12"/>
      <c r="N283" s="12"/>
      <c r="O283" s="14"/>
      <c r="P283" s="12"/>
      <c r="Q283" s="15"/>
      <c r="R283" s="15"/>
      <c r="S283" s="21"/>
      <c r="T283" s="12"/>
      <c r="U283" s="12"/>
      <c r="V283" s="22"/>
      <c r="W283" s="22" t="str">
        <f t="array" ref="W283">IF(A283="","",IFERROR(INDEX(PARAMETROS!$J$2:$J700,MATCH(H283,PARAMETROS!$E$2:$E700,0)),""))</f>
        <v/>
      </c>
      <c r="X283" s="23" t="str">
        <f t="shared" si="1"/>
        <v/>
      </c>
    </row>
    <row r="284" spans="1:24">
      <c r="A284" s="12"/>
      <c r="B284" s="12"/>
      <c r="C284" s="12"/>
      <c r="D284" s="12"/>
      <c r="E284" s="12"/>
      <c r="F284" s="12"/>
      <c r="G284" s="12"/>
      <c r="H284" s="12"/>
      <c r="I284" s="12"/>
      <c r="J284" s="14"/>
      <c r="K284" s="12"/>
      <c r="L284" s="14"/>
      <c r="M284" s="12"/>
      <c r="N284" s="12"/>
      <c r="O284" s="14"/>
      <c r="P284" s="12"/>
      <c r="Q284" s="15"/>
      <c r="R284" s="15"/>
      <c r="S284" s="21"/>
      <c r="T284" s="12"/>
      <c r="U284" s="12"/>
      <c r="V284" s="22"/>
      <c r="W284" s="22" t="str">
        <f t="array" ref="W284">IF(A284="","",IFERROR(INDEX(PARAMETROS!$J$2:$J700,MATCH(H284,PARAMETROS!$E$2:$E700,0)),""))</f>
        <v/>
      </c>
      <c r="X284" s="23" t="str">
        <f t="shared" si="1"/>
        <v/>
      </c>
    </row>
    <row r="285" spans="1:24">
      <c r="A285" s="12"/>
      <c r="B285" s="12"/>
      <c r="C285" s="12"/>
      <c r="D285" s="12"/>
      <c r="E285" s="12"/>
      <c r="F285" s="12"/>
      <c r="G285" s="12"/>
      <c r="H285" s="12"/>
      <c r="I285" s="12"/>
      <c r="J285" s="14"/>
      <c r="K285" s="12"/>
      <c r="L285" s="14"/>
      <c r="M285" s="12"/>
      <c r="N285" s="12"/>
      <c r="O285" s="14"/>
      <c r="P285" s="12"/>
      <c r="Q285" s="15"/>
      <c r="R285" s="15"/>
      <c r="S285" s="21"/>
      <c r="T285" s="12"/>
      <c r="U285" s="12"/>
      <c r="V285" s="22"/>
      <c r="W285" s="22" t="str">
        <f t="array" ref="W285">IF(A285="","",IFERROR(INDEX(PARAMETROS!$J$2:$J700,MATCH(H285,PARAMETROS!$E$2:$E700,0)),""))</f>
        <v/>
      </c>
      <c r="X285" s="23" t="str">
        <f t="shared" si="1"/>
        <v/>
      </c>
    </row>
    <row r="286" spans="1:24">
      <c r="A286" s="12"/>
      <c r="B286" s="12"/>
      <c r="C286" s="12"/>
      <c r="D286" s="12"/>
      <c r="E286" s="12"/>
      <c r="F286" s="12"/>
      <c r="G286" s="12"/>
      <c r="H286" s="12"/>
      <c r="I286" s="12"/>
      <c r="J286" s="14"/>
      <c r="K286" s="12"/>
      <c r="L286" s="14"/>
      <c r="M286" s="12"/>
      <c r="N286" s="12"/>
      <c r="O286" s="14"/>
      <c r="P286" s="12"/>
      <c r="Q286" s="15"/>
      <c r="R286" s="15"/>
      <c r="S286" s="21"/>
      <c r="T286" s="12"/>
      <c r="U286" s="12"/>
      <c r="V286" s="22"/>
      <c r="W286" s="22" t="str">
        <f t="array" ref="W286">IF(A286="","",IFERROR(INDEX(PARAMETROS!$J$2:$J700,MATCH(H286,PARAMETROS!$E$2:$E700,0)),""))</f>
        <v/>
      </c>
      <c r="X286" s="23" t="str">
        <f t="shared" si="1"/>
        <v/>
      </c>
    </row>
    <row r="287" spans="1:24">
      <c r="A287" s="12"/>
      <c r="B287" s="12"/>
      <c r="C287" s="12"/>
      <c r="D287" s="12"/>
      <c r="E287" s="12"/>
      <c r="F287" s="12"/>
      <c r="G287" s="12"/>
      <c r="H287" s="12"/>
      <c r="I287" s="12"/>
      <c r="J287" s="14"/>
      <c r="K287" s="12"/>
      <c r="L287" s="14"/>
      <c r="M287" s="12"/>
      <c r="N287" s="12"/>
      <c r="O287" s="14"/>
      <c r="P287" s="12"/>
      <c r="Q287" s="15"/>
      <c r="R287" s="15"/>
      <c r="S287" s="21"/>
      <c r="T287" s="12"/>
      <c r="U287" s="12"/>
      <c r="V287" s="22"/>
      <c r="W287" s="22" t="str">
        <f t="array" ref="W287">IF(A287="","",IFERROR(INDEX(PARAMETROS!$J$2:$J700,MATCH(H287,PARAMETROS!$E$2:$E700,0)),""))</f>
        <v/>
      </c>
      <c r="X287" s="23" t="str">
        <f t="shared" si="1"/>
        <v/>
      </c>
    </row>
    <row r="288" spans="1:24">
      <c r="A288" s="12"/>
      <c r="B288" s="12"/>
      <c r="C288" s="12"/>
      <c r="D288" s="12"/>
      <c r="E288" s="12"/>
      <c r="F288" s="12"/>
      <c r="G288" s="12"/>
      <c r="H288" s="12"/>
      <c r="I288" s="12"/>
      <c r="J288" s="14"/>
      <c r="K288" s="12"/>
      <c r="L288" s="14"/>
      <c r="M288" s="12"/>
      <c r="N288" s="12"/>
      <c r="O288" s="14"/>
      <c r="P288" s="12"/>
      <c r="Q288" s="15"/>
      <c r="R288" s="15"/>
      <c r="S288" s="21"/>
      <c r="T288" s="12"/>
      <c r="U288" s="12"/>
      <c r="V288" s="22"/>
      <c r="W288" s="22" t="str">
        <f t="array" ref="W288">IF(A288="","",IFERROR(INDEX(PARAMETROS!$J$2:$J700,MATCH(H288,PARAMETROS!$E$2:$E700,0)),""))</f>
        <v/>
      </c>
      <c r="X288" s="23" t="str">
        <f t="shared" si="1"/>
        <v/>
      </c>
    </row>
    <row r="289" spans="1:24">
      <c r="A289" s="12"/>
      <c r="B289" s="12"/>
      <c r="C289" s="12"/>
      <c r="D289" s="12"/>
      <c r="E289" s="12"/>
      <c r="F289" s="12"/>
      <c r="G289" s="12"/>
      <c r="H289" s="12"/>
      <c r="I289" s="12"/>
      <c r="J289" s="14"/>
      <c r="K289" s="12"/>
      <c r="L289" s="14"/>
      <c r="M289" s="12"/>
      <c r="N289" s="12"/>
      <c r="O289" s="14"/>
      <c r="P289" s="12"/>
      <c r="Q289" s="15"/>
      <c r="R289" s="15"/>
      <c r="S289" s="21"/>
      <c r="T289" s="12"/>
      <c r="U289" s="12"/>
      <c r="V289" s="22"/>
      <c r="W289" s="22" t="str">
        <f t="array" ref="W289">IF(A289="","",IFERROR(INDEX(PARAMETROS!$J$2:$J700,MATCH(H289,PARAMETROS!$E$2:$E700,0)),""))</f>
        <v/>
      </c>
      <c r="X289" s="23" t="str">
        <f t="shared" si="1"/>
        <v/>
      </c>
    </row>
    <row r="290" spans="1:24">
      <c r="A290" s="12"/>
      <c r="B290" s="12"/>
      <c r="C290" s="12"/>
      <c r="D290" s="12"/>
      <c r="E290" s="12"/>
      <c r="F290" s="12"/>
      <c r="G290" s="12"/>
      <c r="H290" s="12"/>
      <c r="I290" s="12"/>
      <c r="J290" s="14"/>
      <c r="K290" s="12"/>
      <c r="L290" s="14"/>
      <c r="M290" s="12"/>
      <c r="N290" s="12"/>
      <c r="O290" s="14"/>
      <c r="P290" s="12"/>
      <c r="Q290" s="15"/>
      <c r="R290" s="15"/>
      <c r="S290" s="21"/>
      <c r="T290" s="12"/>
      <c r="U290" s="12"/>
      <c r="V290" s="22"/>
      <c r="W290" s="22" t="str">
        <f t="array" ref="W290">IF(A290="","",IFERROR(INDEX(PARAMETROS!$J$2:$J700,MATCH(H290,PARAMETROS!$E$2:$E700,0)),""))</f>
        <v/>
      </c>
      <c r="X290" s="23" t="str">
        <f t="shared" si="1"/>
        <v/>
      </c>
    </row>
    <row r="291" spans="1:24">
      <c r="A291" s="12"/>
      <c r="B291" s="12"/>
      <c r="C291" s="12"/>
      <c r="D291" s="12"/>
      <c r="E291" s="12"/>
      <c r="F291" s="12"/>
      <c r="G291" s="12"/>
      <c r="H291" s="12"/>
      <c r="I291" s="12"/>
      <c r="J291" s="14"/>
      <c r="K291" s="12"/>
      <c r="L291" s="14"/>
      <c r="M291" s="12"/>
      <c r="N291" s="12"/>
      <c r="O291" s="14"/>
      <c r="P291" s="12"/>
      <c r="Q291" s="15"/>
      <c r="R291" s="15"/>
      <c r="S291" s="21"/>
      <c r="T291" s="12"/>
      <c r="U291" s="12"/>
      <c r="V291" s="22"/>
      <c r="W291" s="22" t="str">
        <f t="array" ref="W291">IF(A291="","",IFERROR(INDEX(PARAMETROS!$J$2:$J700,MATCH(H291,PARAMETROS!$E$2:$E700,0)),""))</f>
        <v/>
      </c>
      <c r="X291" s="23" t="str">
        <f t="shared" si="1"/>
        <v/>
      </c>
    </row>
    <row r="292" spans="1:24">
      <c r="A292" s="12"/>
      <c r="B292" s="12"/>
      <c r="C292" s="12"/>
      <c r="D292" s="12"/>
      <c r="E292" s="12"/>
      <c r="F292" s="12"/>
      <c r="G292" s="12"/>
      <c r="H292" s="12"/>
      <c r="I292" s="12"/>
      <c r="J292" s="14"/>
      <c r="K292" s="12"/>
      <c r="L292" s="14"/>
      <c r="M292" s="12"/>
      <c r="N292" s="12"/>
      <c r="O292" s="14"/>
      <c r="P292" s="12"/>
      <c r="Q292" s="15"/>
      <c r="R292" s="15"/>
      <c r="S292" s="21"/>
      <c r="T292" s="12"/>
      <c r="U292" s="12"/>
      <c r="V292" s="22"/>
      <c r="W292" s="22" t="str">
        <f t="array" ref="W292">IF(A292="","",IFERROR(INDEX(PARAMETROS!$J$2:$J700,MATCH(H292,PARAMETROS!$E$2:$E700,0)),""))</f>
        <v/>
      </c>
      <c r="X292" s="23" t="str">
        <f t="shared" si="1"/>
        <v/>
      </c>
    </row>
    <row r="293" spans="1:24">
      <c r="A293" s="12"/>
      <c r="B293" s="12"/>
      <c r="C293" s="12"/>
      <c r="D293" s="12"/>
      <c r="E293" s="12"/>
      <c r="F293" s="12"/>
      <c r="G293" s="12"/>
      <c r="H293" s="12"/>
      <c r="I293" s="12"/>
      <c r="J293" s="14"/>
      <c r="K293" s="12"/>
      <c r="L293" s="14"/>
      <c r="M293" s="12"/>
      <c r="N293" s="12"/>
      <c r="O293" s="14"/>
      <c r="P293" s="12"/>
      <c r="Q293" s="15"/>
      <c r="R293" s="15"/>
      <c r="S293" s="21"/>
      <c r="T293" s="12"/>
      <c r="U293" s="12"/>
      <c r="V293" s="22"/>
      <c r="W293" s="22" t="str">
        <f t="array" ref="W293">IF(A293="","",IFERROR(INDEX(PARAMETROS!$J$2:$J700,MATCH(H293,PARAMETROS!$E$2:$E700,0)),""))</f>
        <v/>
      </c>
      <c r="X293" s="23" t="str">
        <f t="shared" si="1"/>
        <v/>
      </c>
    </row>
    <row r="294" spans="1:24">
      <c r="A294" s="12"/>
      <c r="B294" s="12"/>
      <c r="C294" s="12"/>
      <c r="D294" s="12"/>
      <c r="E294" s="12"/>
      <c r="F294" s="12"/>
      <c r="G294" s="12"/>
      <c r="H294" s="12"/>
      <c r="I294" s="12"/>
      <c r="J294" s="14"/>
      <c r="K294" s="12"/>
      <c r="L294" s="14"/>
      <c r="M294" s="12"/>
      <c r="N294" s="12"/>
      <c r="O294" s="14"/>
      <c r="P294" s="12"/>
      <c r="Q294" s="15"/>
      <c r="R294" s="15"/>
      <c r="S294" s="21"/>
      <c r="T294" s="12"/>
      <c r="U294" s="12"/>
      <c r="V294" s="22"/>
      <c r="W294" s="22" t="str">
        <f t="array" ref="W294">IF(A294="","",IFERROR(INDEX(PARAMETROS!$J$2:$J700,MATCH(H294,PARAMETROS!$E$2:$E700,0)),""))</f>
        <v/>
      </c>
      <c r="X294" s="23" t="str">
        <f t="shared" si="1"/>
        <v/>
      </c>
    </row>
    <row r="295" spans="1:24">
      <c r="A295" s="12"/>
      <c r="B295" s="12"/>
      <c r="C295" s="12"/>
      <c r="D295" s="12"/>
      <c r="E295" s="12"/>
      <c r="F295" s="12"/>
      <c r="G295" s="12"/>
      <c r="H295" s="12"/>
      <c r="I295" s="12"/>
      <c r="J295" s="14"/>
      <c r="K295" s="12"/>
      <c r="L295" s="14"/>
      <c r="M295" s="12"/>
      <c r="N295" s="12"/>
      <c r="O295" s="14"/>
      <c r="P295" s="12"/>
      <c r="Q295" s="15"/>
      <c r="R295" s="15"/>
      <c r="S295" s="21"/>
      <c r="T295" s="12"/>
      <c r="U295" s="12"/>
      <c r="V295" s="22"/>
      <c r="W295" s="22" t="str">
        <f t="array" ref="W295">IF(A295="","",IFERROR(INDEX(PARAMETROS!$J$2:$J700,MATCH(H295,PARAMETROS!$E$2:$E700,0)),""))</f>
        <v/>
      </c>
      <c r="X295" s="23" t="str">
        <f t="shared" si="1"/>
        <v/>
      </c>
    </row>
    <row r="296" spans="1:24">
      <c r="A296" s="12"/>
      <c r="B296" s="12"/>
      <c r="C296" s="12"/>
      <c r="D296" s="12"/>
      <c r="E296" s="12"/>
      <c r="F296" s="12"/>
      <c r="G296" s="12"/>
      <c r="H296" s="12"/>
      <c r="I296" s="12"/>
      <c r="J296" s="14"/>
      <c r="K296" s="12"/>
      <c r="L296" s="14"/>
      <c r="M296" s="12"/>
      <c r="N296" s="12"/>
      <c r="O296" s="14"/>
      <c r="P296" s="12"/>
      <c r="Q296" s="15"/>
      <c r="R296" s="15"/>
      <c r="S296" s="21"/>
      <c r="T296" s="12"/>
      <c r="U296" s="12"/>
      <c r="V296" s="22"/>
      <c r="W296" s="22" t="str">
        <f t="array" ref="W296">IF(A296="","",IFERROR(INDEX(PARAMETROS!$J$2:$J700,MATCH(H296,PARAMETROS!$E$2:$E700,0)),""))</f>
        <v/>
      </c>
      <c r="X296" s="23" t="str">
        <f t="shared" si="1"/>
        <v/>
      </c>
    </row>
    <row r="297" spans="1:24">
      <c r="A297" s="12"/>
      <c r="B297" s="12"/>
      <c r="C297" s="12"/>
      <c r="D297" s="12"/>
      <c r="E297" s="12"/>
      <c r="F297" s="12"/>
      <c r="G297" s="12"/>
      <c r="H297" s="12"/>
      <c r="I297" s="12"/>
      <c r="J297" s="14"/>
      <c r="K297" s="12"/>
      <c r="L297" s="14"/>
      <c r="M297" s="12"/>
      <c r="N297" s="12"/>
      <c r="O297" s="14"/>
      <c r="P297" s="12"/>
      <c r="Q297" s="15"/>
      <c r="R297" s="15"/>
      <c r="S297" s="21"/>
      <c r="T297" s="12"/>
      <c r="U297" s="12"/>
      <c r="V297" s="22"/>
      <c r="W297" s="22" t="str">
        <f t="array" ref="W297">IF(A297="","",IFERROR(INDEX(PARAMETROS!$J$2:$J700,MATCH(H297,PARAMETROS!$E$2:$E700,0)),""))</f>
        <v/>
      </c>
      <c r="X297" s="23" t="str">
        <f t="shared" si="1"/>
        <v/>
      </c>
    </row>
    <row r="298" spans="1:24">
      <c r="A298" s="12"/>
      <c r="B298" s="12"/>
      <c r="C298" s="12"/>
      <c r="D298" s="12"/>
      <c r="E298" s="12"/>
      <c r="F298" s="12"/>
      <c r="G298" s="12"/>
      <c r="H298" s="12"/>
      <c r="I298" s="12"/>
      <c r="J298" s="14"/>
      <c r="K298" s="12"/>
      <c r="L298" s="14"/>
      <c r="M298" s="12"/>
      <c r="N298" s="12"/>
      <c r="O298" s="14"/>
      <c r="P298" s="12"/>
      <c r="Q298" s="15"/>
      <c r="R298" s="15"/>
      <c r="S298" s="21"/>
      <c r="T298" s="12"/>
      <c r="U298" s="12"/>
      <c r="V298" s="22"/>
      <c r="W298" s="22" t="str">
        <f t="array" ref="W298">IF(A298="","",IFERROR(INDEX(PARAMETROS!$J$2:$J700,MATCH(H298,PARAMETROS!$E$2:$E700,0)),""))</f>
        <v/>
      </c>
      <c r="X298" s="23" t="str">
        <f t="shared" si="1"/>
        <v/>
      </c>
    </row>
    <row r="299" spans="1:24">
      <c r="A299" s="12"/>
      <c r="B299" s="12"/>
      <c r="C299" s="12"/>
      <c r="D299" s="12"/>
      <c r="E299" s="12"/>
      <c r="F299" s="12"/>
      <c r="G299" s="12"/>
      <c r="H299" s="12"/>
      <c r="I299" s="12"/>
      <c r="J299" s="14"/>
      <c r="K299" s="12"/>
      <c r="L299" s="14"/>
      <c r="M299" s="12"/>
      <c r="N299" s="12"/>
      <c r="O299" s="14"/>
      <c r="P299" s="12"/>
      <c r="Q299" s="15"/>
      <c r="R299" s="15"/>
      <c r="S299" s="21"/>
      <c r="T299" s="12"/>
      <c r="U299" s="12"/>
      <c r="V299" s="22"/>
      <c r="W299" s="22" t="str">
        <f t="array" ref="W299">IF(A299="","",IFERROR(INDEX(PARAMETROS!$J$2:$J700,MATCH(H299,PARAMETROS!$E$2:$E700,0)),""))</f>
        <v/>
      </c>
      <c r="X299" s="23" t="str">
        <f t="shared" si="1"/>
        <v/>
      </c>
    </row>
    <row r="300" spans="1:24">
      <c r="A300" s="12"/>
      <c r="B300" s="12"/>
      <c r="C300" s="12"/>
      <c r="D300" s="12"/>
      <c r="E300" s="12"/>
      <c r="F300" s="12"/>
      <c r="G300" s="12"/>
      <c r="H300" s="12"/>
      <c r="I300" s="12"/>
      <c r="J300" s="14"/>
      <c r="K300" s="12"/>
      <c r="L300" s="14"/>
      <c r="M300" s="12"/>
      <c r="N300" s="12"/>
      <c r="O300" s="14"/>
      <c r="P300" s="12"/>
      <c r="Q300" s="15"/>
      <c r="R300" s="15"/>
      <c r="S300" s="21"/>
      <c r="T300" s="12"/>
      <c r="U300" s="12"/>
      <c r="V300" s="22"/>
      <c r="W300" s="22" t="str">
        <f t="array" ref="W300">IF(A300="","",IFERROR(INDEX(PARAMETROS!$J$2:$J700,MATCH(H300,PARAMETROS!$E$2:$E700,0)),""))</f>
        <v/>
      </c>
      <c r="X300" s="23" t="str">
        <f t="shared" si="1"/>
        <v/>
      </c>
    </row>
    <row r="301" spans="1:24">
      <c r="A301" s="12"/>
      <c r="B301" s="12"/>
      <c r="C301" s="12"/>
      <c r="D301" s="12"/>
      <c r="E301" s="12"/>
      <c r="F301" s="12"/>
      <c r="G301" s="12"/>
      <c r="H301" s="12"/>
      <c r="I301" s="12"/>
      <c r="J301" s="14"/>
      <c r="K301" s="12"/>
      <c r="L301" s="14"/>
      <c r="M301" s="12"/>
      <c r="N301" s="12"/>
      <c r="O301" s="14"/>
      <c r="P301" s="12"/>
      <c r="Q301" s="15"/>
      <c r="R301" s="15"/>
      <c r="S301" s="21"/>
      <c r="T301" s="12"/>
      <c r="U301" s="12"/>
      <c r="V301" s="22"/>
      <c r="W301" s="22" t="str">
        <f t="array" ref="W301">IF(A301="","",IFERROR(INDEX(PARAMETROS!$J$2:$J700,MATCH(H301,PARAMETROS!$E$2:$E700,0)),""))</f>
        <v/>
      </c>
      <c r="X301" s="23" t="str">
        <f t="shared" si="1"/>
        <v/>
      </c>
    </row>
    <row r="302" spans="1:24">
      <c r="A302" s="12"/>
      <c r="B302" s="12"/>
      <c r="C302" s="12"/>
      <c r="D302" s="12"/>
      <c r="E302" s="12"/>
      <c r="F302" s="12"/>
      <c r="G302" s="12"/>
      <c r="H302" s="12"/>
      <c r="I302" s="12"/>
      <c r="J302" s="14"/>
      <c r="K302" s="12"/>
      <c r="L302" s="14"/>
      <c r="M302" s="12"/>
      <c r="N302" s="12"/>
      <c r="O302" s="14"/>
      <c r="P302" s="12"/>
      <c r="Q302" s="15"/>
      <c r="R302" s="15"/>
      <c r="S302" s="21"/>
      <c r="T302" s="12"/>
      <c r="U302" s="12"/>
      <c r="V302" s="22"/>
      <c r="W302" s="22" t="str">
        <f t="array" ref="W302">IF(A302="","",IFERROR(INDEX(PARAMETROS!$J$2:$J700,MATCH(H302,PARAMETROS!$E$2:$E700,0)),""))</f>
        <v/>
      </c>
      <c r="X302" s="23" t="str">
        <f t="shared" si="1"/>
        <v/>
      </c>
    </row>
    <row r="303" spans="1:24">
      <c r="A303" s="12"/>
      <c r="B303" s="12"/>
      <c r="C303" s="12"/>
      <c r="D303" s="12"/>
      <c r="E303" s="12"/>
      <c r="F303" s="12"/>
      <c r="G303" s="12"/>
      <c r="H303" s="12"/>
      <c r="I303" s="12"/>
      <c r="J303" s="14"/>
      <c r="K303" s="12"/>
      <c r="L303" s="14"/>
      <c r="M303" s="12"/>
      <c r="N303" s="12"/>
      <c r="O303" s="14"/>
      <c r="P303" s="12"/>
      <c r="Q303" s="15"/>
      <c r="R303" s="15"/>
      <c r="S303" s="21"/>
      <c r="T303" s="12"/>
      <c r="U303" s="12"/>
      <c r="V303" s="22"/>
      <c r="W303" s="22" t="str">
        <f t="array" ref="W303">IF(A303="","",IFERROR(INDEX(PARAMETROS!$J$2:$J700,MATCH(H303,PARAMETROS!$E$2:$E700,0)),""))</f>
        <v/>
      </c>
      <c r="X303" s="23" t="str">
        <f t="shared" si="1"/>
        <v/>
      </c>
    </row>
    <row r="304" spans="1:24">
      <c r="A304" s="12"/>
      <c r="B304" s="12"/>
      <c r="C304" s="12"/>
      <c r="D304" s="12"/>
      <c r="E304" s="12"/>
      <c r="F304" s="12"/>
      <c r="G304" s="12"/>
      <c r="H304" s="12"/>
      <c r="I304" s="12"/>
      <c r="J304" s="14"/>
      <c r="K304" s="12"/>
      <c r="L304" s="14"/>
      <c r="M304" s="12"/>
      <c r="N304" s="12"/>
      <c r="O304" s="14"/>
      <c r="P304" s="12"/>
      <c r="Q304" s="15"/>
      <c r="R304" s="15"/>
      <c r="S304" s="21"/>
      <c r="T304" s="12"/>
      <c r="U304" s="12"/>
      <c r="V304" s="22"/>
      <c r="W304" s="22" t="str">
        <f t="array" ref="W304">IF(A304="","",IFERROR(INDEX(PARAMETROS!$J$2:$J700,MATCH(H304,PARAMETROS!$E$2:$E700,0)),""))</f>
        <v/>
      </c>
      <c r="X304" s="23" t="str">
        <f t="shared" si="1"/>
        <v/>
      </c>
    </row>
    <row r="305" spans="1:24">
      <c r="A305" s="12"/>
      <c r="B305" s="12"/>
      <c r="C305" s="12"/>
      <c r="D305" s="12"/>
      <c r="E305" s="12"/>
      <c r="F305" s="12"/>
      <c r="G305" s="12"/>
      <c r="H305" s="12"/>
      <c r="I305" s="12"/>
      <c r="J305" s="14"/>
      <c r="K305" s="12"/>
      <c r="L305" s="14"/>
      <c r="M305" s="12"/>
      <c r="N305" s="12"/>
      <c r="O305" s="14"/>
      <c r="P305" s="12"/>
      <c r="Q305" s="15"/>
      <c r="R305" s="15"/>
      <c r="S305" s="21"/>
      <c r="T305" s="12"/>
      <c r="U305" s="12"/>
      <c r="V305" s="22"/>
      <c r="W305" s="22" t="str">
        <f t="array" ref="W305">IF(A305="","",IFERROR(INDEX(PARAMETROS!$J$2:$J700,MATCH(H305,PARAMETROS!$E$2:$E700,0)),""))</f>
        <v/>
      </c>
      <c r="X305" s="23" t="str">
        <f t="shared" si="1"/>
        <v/>
      </c>
    </row>
    <row r="306" spans="1:24">
      <c r="A306" s="12"/>
      <c r="B306" s="12"/>
      <c r="C306" s="12"/>
      <c r="D306" s="12"/>
      <c r="E306" s="12"/>
      <c r="F306" s="12"/>
      <c r="G306" s="12"/>
      <c r="H306" s="12"/>
      <c r="I306" s="12"/>
      <c r="J306" s="14"/>
      <c r="K306" s="12"/>
      <c r="L306" s="14"/>
      <c r="M306" s="12"/>
      <c r="N306" s="12"/>
      <c r="O306" s="14"/>
      <c r="P306" s="12"/>
      <c r="Q306" s="15"/>
      <c r="R306" s="15"/>
      <c r="S306" s="21"/>
      <c r="T306" s="12"/>
      <c r="U306" s="12"/>
      <c r="V306" s="22"/>
      <c r="W306" s="22" t="str">
        <f t="array" ref="W306">IF(A306="","",IFERROR(INDEX(PARAMETROS!$J$2:$J700,MATCH(H306,PARAMETROS!$E$2:$E700,0)),""))</f>
        <v/>
      </c>
      <c r="X306" s="23" t="str">
        <f t="shared" si="1"/>
        <v/>
      </c>
    </row>
    <row r="307" spans="1:24">
      <c r="A307" s="12"/>
      <c r="B307" s="12"/>
      <c r="C307" s="12"/>
      <c r="D307" s="12"/>
      <c r="E307" s="12"/>
      <c r="F307" s="12"/>
      <c r="G307" s="12"/>
      <c r="H307" s="12"/>
      <c r="I307" s="12"/>
      <c r="J307" s="14"/>
      <c r="K307" s="12"/>
      <c r="L307" s="14"/>
      <c r="M307" s="12"/>
      <c r="N307" s="12"/>
      <c r="O307" s="14"/>
      <c r="P307" s="12"/>
      <c r="Q307" s="15"/>
      <c r="R307" s="15"/>
      <c r="S307" s="21"/>
      <c r="T307" s="12"/>
      <c r="U307" s="12"/>
      <c r="V307" s="22"/>
      <c r="W307" s="22" t="str">
        <f t="array" ref="W307">IF(A307="","",IFERROR(INDEX(PARAMETROS!$J$2:$J700,MATCH(H307,PARAMETROS!$E$2:$E700,0)),""))</f>
        <v/>
      </c>
      <c r="X307" s="23" t="str">
        <f t="shared" si="1"/>
        <v/>
      </c>
    </row>
    <row r="308" spans="1:24">
      <c r="A308" s="12"/>
      <c r="B308" s="12"/>
      <c r="C308" s="12"/>
      <c r="D308" s="12"/>
      <c r="E308" s="12"/>
      <c r="F308" s="12"/>
      <c r="G308" s="12"/>
      <c r="H308" s="12"/>
      <c r="I308" s="12"/>
      <c r="J308" s="14"/>
      <c r="K308" s="12"/>
      <c r="L308" s="14"/>
      <c r="M308" s="12"/>
      <c r="N308" s="12"/>
      <c r="O308" s="14"/>
      <c r="P308" s="12"/>
      <c r="Q308" s="15"/>
      <c r="R308" s="15"/>
      <c r="S308" s="21"/>
      <c r="T308" s="12"/>
      <c r="U308" s="12"/>
      <c r="V308" s="22"/>
      <c r="W308" s="22" t="str">
        <f t="array" ref="W308">IF(A308="","",IFERROR(INDEX(PARAMETROS!$J$2:$J700,MATCH(H308,PARAMETROS!$E$2:$E700,0)),""))</f>
        <v/>
      </c>
      <c r="X308" s="23" t="str">
        <f t="shared" si="1"/>
        <v/>
      </c>
    </row>
    <row r="309" spans="1:24">
      <c r="A309" s="12"/>
      <c r="B309" s="12"/>
      <c r="C309" s="12"/>
      <c r="D309" s="12"/>
      <c r="E309" s="12"/>
      <c r="F309" s="12"/>
      <c r="G309" s="12"/>
      <c r="H309" s="12"/>
      <c r="I309" s="12"/>
      <c r="J309" s="14"/>
      <c r="K309" s="12"/>
      <c r="L309" s="14"/>
      <c r="M309" s="12"/>
      <c r="N309" s="12"/>
      <c r="O309" s="14"/>
      <c r="P309" s="12"/>
      <c r="Q309" s="15"/>
      <c r="R309" s="15"/>
      <c r="S309" s="21"/>
      <c r="T309" s="12"/>
      <c r="U309" s="12"/>
      <c r="V309" s="22"/>
      <c r="W309" s="22" t="str">
        <f t="array" ref="W309">IF(A309="","",IFERROR(INDEX(PARAMETROS!$J$2:$J700,MATCH(H309,PARAMETROS!$E$2:$E700,0)),""))</f>
        <v/>
      </c>
      <c r="X309" s="23" t="str">
        <f t="shared" si="1"/>
        <v/>
      </c>
    </row>
    <row r="310" spans="1:24">
      <c r="A310" s="12"/>
      <c r="B310" s="12"/>
      <c r="C310" s="12"/>
      <c r="D310" s="12"/>
      <c r="E310" s="12"/>
      <c r="F310" s="12"/>
      <c r="G310" s="12"/>
      <c r="H310" s="12"/>
      <c r="I310" s="12"/>
      <c r="J310" s="14"/>
      <c r="K310" s="12"/>
      <c r="L310" s="14"/>
      <c r="M310" s="12"/>
      <c r="N310" s="12"/>
      <c r="O310" s="14"/>
      <c r="P310" s="12"/>
      <c r="Q310" s="15"/>
      <c r="R310" s="15"/>
      <c r="S310" s="21"/>
      <c r="T310" s="12"/>
      <c r="U310" s="12"/>
      <c r="V310" s="22"/>
      <c r="W310" s="22" t="str">
        <f t="array" ref="W310">IF(A310="","",IFERROR(INDEX(PARAMETROS!$J$2:$J700,MATCH(H310,PARAMETROS!$E$2:$E700,0)),""))</f>
        <v/>
      </c>
      <c r="X310" s="23" t="str">
        <f t="shared" si="1"/>
        <v/>
      </c>
    </row>
    <row r="311" spans="1:24">
      <c r="A311" s="12"/>
      <c r="B311" s="12"/>
      <c r="C311" s="12"/>
      <c r="D311" s="12"/>
      <c r="E311" s="12"/>
      <c r="F311" s="12"/>
      <c r="G311" s="12"/>
      <c r="H311" s="12"/>
      <c r="I311" s="12"/>
      <c r="J311" s="14"/>
      <c r="K311" s="12"/>
      <c r="L311" s="14"/>
      <c r="M311" s="12"/>
      <c r="N311" s="12"/>
      <c r="O311" s="14"/>
      <c r="P311" s="12"/>
      <c r="Q311" s="15"/>
      <c r="R311" s="15"/>
      <c r="S311" s="21"/>
      <c r="T311" s="12"/>
      <c r="U311" s="12"/>
      <c r="V311" s="22"/>
      <c r="W311" s="22" t="str">
        <f t="array" ref="W311">IF(A311="","",IFERROR(INDEX(PARAMETROS!$J$2:$J700,MATCH(H311,PARAMETROS!$E$2:$E700,0)),""))</f>
        <v/>
      </c>
      <c r="X311" s="23" t="str">
        <f t="shared" si="1"/>
        <v/>
      </c>
    </row>
    <row r="312" spans="1:24">
      <c r="A312" s="12"/>
      <c r="B312" s="12"/>
      <c r="C312" s="12"/>
      <c r="D312" s="12"/>
      <c r="E312" s="12"/>
      <c r="F312" s="12"/>
      <c r="G312" s="12"/>
      <c r="H312" s="12"/>
      <c r="I312" s="12"/>
      <c r="J312" s="14"/>
      <c r="K312" s="12"/>
      <c r="L312" s="14"/>
      <c r="M312" s="12"/>
      <c r="N312" s="12"/>
      <c r="O312" s="14"/>
      <c r="P312" s="12"/>
      <c r="Q312" s="15"/>
      <c r="R312" s="15"/>
      <c r="S312" s="21"/>
      <c r="T312" s="12"/>
      <c r="U312" s="12"/>
      <c r="V312" s="22"/>
      <c r="W312" s="22" t="str">
        <f t="array" ref="W312">IF(A312="","",IFERROR(INDEX(PARAMETROS!$J$2:$J700,MATCH(H312,PARAMETROS!$E$2:$E700,0)),""))</f>
        <v/>
      </c>
      <c r="X312" s="23" t="str">
        <f t="shared" si="1"/>
        <v/>
      </c>
    </row>
    <row r="313" spans="1:24">
      <c r="A313" s="12"/>
      <c r="B313" s="12"/>
      <c r="C313" s="12"/>
      <c r="D313" s="12"/>
      <c r="E313" s="12"/>
      <c r="F313" s="12"/>
      <c r="G313" s="12"/>
      <c r="H313" s="12"/>
      <c r="I313" s="12"/>
      <c r="J313" s="14"/>
      <c r="K313" s="12"/>
      <c r="L313" s="14"/>
      <c r="M313" s="12"/>
      <c r="N313" s="12"/>
      <c r="O313" s="14"/>
      <c r="P313" s="12"/>
      <c r="Q313" s="15"/>
      <c r="R313" s="15"/>
      <c r="S313" s="21"/>
      <c r="T313" s="12"/>
      <c r="U313" s="12"/>
      <c r="V313" s="22"/>
      <c r="W313" s="22" t="str">
        <f t="array" ref="W313">IF(A313="","",IFERROR(INDEX(PARAMETROS!$J$2:$J700,MATCH(H313,PARAMETROS!$E$2:$E700,0)),""))</f>
        <v/>
      </c>
      <c r="X313" s="23" t="str">
        <f t="shared" si="1"/>
        <v/>
      </c>
    </row>
    <row r="314" spans="1:24">
      <c r="A314" s="12"/>
      <c r="B314" s="12"/>
      <c r="C314" s="12"/>
      <c r="D314" s="12"/>
      <c r="E314" s="12"/>
      <c r="F314" s="12"/>
      <c r="G314" s="12"/>
      <c r="H314" s="12"/>
      <c r="I314" s="12"/>
      <c r="J314" s="14"/>
      <c r="K314" s="12"/>
      <c r="L314" s="14"/>
      <c r="M314" s="12"/>
      <c r="N314" s="12"/>
      <c r="O314" s="14"/>
      <c r="P314" s="12"/>
      <c r="Q314" s="15"/>
      <c r="R314" s="15"/>
      <c r="S314" s="21"/>
      <c r="T314" s="12"/>
      <c r="U314" s="12"/>
      <c r="V314" s="22"/>
      <c r="W314" s="22" t="str">
        <f t="array" ref="W314">IF(A314="","",IFERROR(INDEX(PARAMETROS!$J$2:$J700,MATCH(H314,PARAMETROS!$E$2:$E700,0)),""))</f>
        <v/>
      </c>
      <c r="X314" s="23" t="str">
        <f t="shared" si="1"/>
        <v/>
      </c>
    </row>
    <row r="315" spans="1:24">
      <c r="A315" s="12"/>
      <c r="B315" s="12"/>
      <c r="C315" s="12"/>
      <c r="D315" s="12"/>
      <c r="E315" s="12"/>
      <c r="F315" s="12"/>
      <c r="G315" s="12"/>
      <c r="H315" s="12"/>
      <c r="I315" s="12"/>
      <c r="J315" s="14"/>
      <c r="K315" s="12"/>
      <c r="L315" s="14"/>
      <c r="M315" s="12"/>
      <c r="N315" s="12"/>
      <c r="O315" s="14"/>
      <c r="P315" s="12"/>
      <c r="Q315" s="15"/>
      <c r="R315" s="15"/>
      <c r="S315" s="21"/>
      <c r="T315" s="12"/>
      <c r="U315" s="12"/>
      <c r="V315" s="22"/>
      <c r="W315" s="22" t="str">
        <f t="array" ref="W315">IF(A315="","",IFERROR(INDEX(PARAMETROS!$J$2:$J700,MATCH(H315,PARAMETROS!$E$2:$E700,0)),""))</f>
        <v/>
      </c>
      <c r="X315" s="23" t="str">
        <f t="shared" si="1"/>
        <v/>
      </c>
    </row>
    <row r="316" spans="1:24">
      <c r="A316" s="12"/>
      <c r="B316" s="12"/>
      <c r="C316" s="12"/>
      <c r="D316" s="12"/>
      <c r="E316" s="12"/>
      <c r="F316" s="12"/>
      <c r="G316" s="12"/>
      <c r="H316" s="12"/>
      <c r="I316" s="12"/>
      <c r="J316" s="14"/>
      <c r="K316" s="12"/>
      <c r="L316" s="14"/>
      <c r="M316" s="12"/>
      <c r="N316" s="12"/>
      <c r="O316" s="14"/>
      <c r="P316" s="12"/>
      <c r="Q316" s="15"/>
      <c r="R316" s="15"/>
      <c r="S316" s="21"/>
      <c r="T316" s="12"/>
      <c r="U316" s="12"/>
      <c r="V316" s="22"/>
      <c r="W316" s="22" t="str">
        <f t="array" ref="W316">IF(A316="","",IFERROR(INDEX(PARAMETROS!$J$2:$J700,MATCH(H316,PARAMETROS!$E$2:$E700,0)),""))</f>
        <v/>
      </c>
      <c r="X316" s="23" t="str">
        <f t="shared" si="1"/>
        <v/>
      </c>
    </row>
    <row r="317" spans="1:24">
      <c r="A317" s="12"/>
      <c r="B317" s="12"/>
      <c r="C317" s="12"/>
      <c r="D317" s="12"/>
      <c r="E317" s="12"/>
      <c r="F317" s="12"/>
      <c r="G317" s="12"/>
      <c r="H317" s="12"/>
      <c r="I317" s="12"/>
      <c r="J317" s="14"/>
      <c r="K317" s="12"/>
      <c r="L317" s="14"/>
      <c r="M317" s="12"/>
      <c r="N317" s="12"/>
      <c r="O317" s="14"/>
      <c r="P317" s="12"/>
      <c r="Q317" s="15"/>
      <c r="R317" s="15"/>
      <c r="S317" s="21"/>
      <c r="T317" s="12"/>
      <c r="U317" s="12"/>
      <c r="V317" s="22"/>
      <c r="W317" s="22" t="str">
        <f t="array" ref="W317">IF(A317="","",IFERROR(INDEX(PARAMETROS!$J$2:$J700,MATCH(H317,PARAMETROS!$E$2:$E700,0)),""))</f>
        <v/>
      </c>
      <c r="X317" s="23" t="str">
        <f t="shared" si="1"/>
        <v/>
      </c>
    </row>
    <row r="318" spans="1:24">
      <c r="A318" s="12"/>
      <c r="B318" s="12"/>
      <c r="C318" s="12"/>
      <c r="D318" s="12"/>
      <c r="E318" s="12"/>
      <c r="F318" s="12"/>
      <c r="G318" s="12"/>
      <c r="H318" s="12"/>
      <c r="I318" s="12"/>
      <c r="J318" s="14"/>
      <c r="K318" s="12"/>
      <c r="L318" s="14"/>
      <c r="M318" s="12"/>
      <c r="N318" s="12"/>
      <c r="O318" s="14"/>
      <c r="P318" s="12"/>
      <c r="Q318" s="15"/>
      <c r="R318" s="15"/>
      <c r="S318" s="21"/>
      <c r="T318" s="12"/>
      <c r="U318" s="12"/>
      <c r="V318" s="22"/>
      <c r="W318" s="22" t="str">
        <f t="array" ref="W318">IF(A318="","",IFERROR(INDEX(PARAMETROS!$J$2:$J700,MATCH(H318,PARAMETROS!$E$2:$E700,0)),""))</f>
        <v/>
      </c>
      <c r="X318" s="23" t="str">
        <f t="shared" si="1"/>
        <v/>
      </c>
    </row>
    <row r="319" spans="1:24">
      <c r="A319" s="12"/>
      <c r="B319" s="12"/>
      <c r="C319" s="12"/>
      <c r="D319" s="12"/>
      <c r="E319" s="12"/>
      <c r="F319" s="12"/>
      <c r="G319" s="12"/>
      <c r="H319" s="12"/>
      <c r="I319" s="12"/>
      <c r="J319" s="14"/>
      <c r="K319" s="12"/>
      <c r="L319" s="14"/>
      <c r="M319" s="12"/>
      <c r="N319" s="12"/>
      <c r="O319" s="14"/>
      <c r="P319" s="12"/>
      <c r="Q319" s="15"/>
      <c r="R319" s="15"/>
      <c r="S319" s="21"/>
      <c r="T319" s="12"/>
      <c r="U319" s="12"/>
      <c r="V319" s="22"/>
      <c r="W319" s="22" t="str">
        <f t="array" ref="W319">IF(A319="","",IFERROR(INDEX(PARAMETROS!$J$2:$J700,MATCH(H319,PARAMETROS!$E$2:$E700,0)),""))</f>
        <v/>
      </c>
      <c r="X319" s="23" t="str">
        <f t="shared" si="1"/>
        <v/>
      </c>
    </row>
    <row r="320" spans="1:24">
      <c r="A320" s="12"/>
      <c r="B320" s="12"/>
      <c r="C320" s="12"/>
      <c r="D320" s="12"/>
      <c r="E320" s="12"/>
      <c r="F320" s="12"/>
      <c r="G320" s="12"/>
      <c r="H320" s="12"/>
      <c r="I320" s="12"/>
      <c r="J320" s="14"/>
      <c r="K320" s="12"/>
      <c r="L320" s="14"/>
      <c r="M320" s="12"/>
      <c r="N320" s="12"/>
      <c r="O320" s="14"/>
      <c r="P320" s="12"/>
      <c r="Q320" s="15"/>
      <c r="R320" s="15"/>
      <c r="S320" s="21"/>
      <c r="T320" s="12"/>
      <c r="U320" s="12"/>
      <c r="V320" s="22"/>
      <c r="W320" s="22" t="str">
        <f t="array" ref="W320">IF(A320="","",IFERROR(INDEX(PARAMETROS!$J$2:$J700,MATCH(H320,PARAMETROS!$E$2:$E700,0)),""))</f>
        <v/>
      </c>
      <c r="X320" s="23" t="str">
        <f t="shared" si="1"/>
        <v/>
      </c>
    </row>
    <row r="321" spans="1:24">
      <c r="A321" s="12"/>
      <c r="B321" s="12"/>
      <c r="C321" s="12"/>
      <c r="D321" s="12"/>
      <c r="E321" s="12"/>
      <c r="F321" s="12"/>
      <c r="G321" s="12"/>
      <c r="H321" s="12"/>
      <c r="I321" s="12"/>
      <c r="J321" s="14"/>
      <c r="K321" s="12"/>
      <c r="L321" s="14"/>
      <c r="M321" s="12"/>
      <c r="N321" s="12"/>
      <c r="O321" s="14"/>
      <c r="P321" s="12"/>
      <c r="Q321" s="15"/>
      <c r="R321" s="15"/>
      <c r="S321" s="21"/>
      <c r="T321" s="12"/>
      <c r="U321" s="12"/>
      <c r="V321" s="22"/>
      <c r="W321" s="22" t="str">
        <f t="array" ref="W321">IF(A321="","",IFERROR(INDEX(PARAMETROS!$J$2:$J700,MATCH(H321,PARAMETROS!$E$2:$E700,0)),""))</f>
        <v/>
      </c>
      <c r="X321" s="23" t="str">
        <f t="shared" si="1"/>
        <v/>
      </c>
    </row>
    <row r="322" spans="1:24">
      <c r="A322" s="12"/>
      <c r="B322" s="12"/>
      <c r="C322" s="12"/>
      <c r="D322" s="12"/>
      <c r="E322" s="12"/>
      <c r="F322" s="12"/>
      <c r="G322" s="12"/>
      <c r="H322" s="12"/>
      <c r="I322" s="12"/>
      <c r="J322" s="14"/>
      <c r="K322" s="12"/>
      <c r="L322" s="14"/>
      <c r="M322" s="12"/>
      <c r="N322" s="12"/>
      <c r="O322" s="14"/>
      <c r="P322" s="12"/>
      <c r="Q322" s="15"/>
      <c r="R322" s="15"/>
      <c r="S322" s="21"/>
      <c r="T322" s="12"/>
      <c r="U322" s="12"/>
      <c r="V322" s="22"/>
      <c r="W322" s="22" t="str">
        <f t="array" ref="W322">IF(A322="","",IFERROR(INDEX(PARAMETROS!$J$2:$J700,MATCH(H322,PARAMETROS!$E$2:$E700,0)),""))</f>
        <v/>
      </c>
      <c r="X322" s="23" t="str">
        <f t="shared" si="1"/>
        <v/>
      </c>
    </row>
    <row r="323" spans="1:24">
      <c r="A323" s="12"/>
      <c r="B323" s="12"/>
      <c r="C323" s="12"/>
      <c r="D323" s="12"/>
      <c r="E323" s="12"/>
      <c r="F323" s="12"/>
      <c r="G323" s="12"/>
      <c r="H323" s="12"/>
      <c r="I323" s="12"/>
      <c r="J323" s="14"/>
      <c r="K323" s="12"/>
      <c r="L323" s="14"/>
      <c r="M323" s="12"/>
      <c r="N323" s="12"/>
      <c r="O323" s="14"/>
      <c r="P323" s="12"/>
      <c r="Q323" s="15"/>
      <c r="R323" s="15"/>
      <c r="S323" s="21"/>
      <c r="T323" s="12"/>
      <c r="U323" s="12"/>
      <c r="V323" s="22"/>
      <c r="W323" s="22" t="str">
        <f t="array" ref="W323">IF(A323="","",IFERROR(INDEX(PARAMETROS!$J$2:$J700,MATCH(H323,PARAMETROS!$E$2:$E700,0)),""))</f>
        <v/>
      </c>
      <c r="X323" s="23" t="str">
        <f t="shared" si="1"/>
        <v/>
      </c>
    </row>
    <row r="324" spans="1:24">
      <c r="A324" s="12"/>
      <c r="B324" s="12"/>
      <c r="C324" s="12"/>
      <c r="D324" s="12"/>
      <c r="E324" s="12"/>
      <c r="F324" s="12"/>
      <c r="G324" s="12"/>
      <c r="H324" s="12"/>
      <c r="I324" s="12"/>
      <c r="J324" s="14"/>
      <c r="K324" s="12"/>
      <c r="L324" s="14"/>
      <c r="M324" s="12"/>
      <c r="N324" s="12"/>
      <c r="O324" s="14"/>
      <c r="P324" s="12"/>
      <c r="Q324" s="15"/>
      <c r="R324" s="15"/>
      <c r="S324" s="21"/>
      <c r="T324" s="12"/>
      <c r="U324" s="12"/>
      <c r="V324" s="22"/>
      <c r="W324" s="22" t="str">
        <f t="array" ref="W324">IF(A324="","",IFERROR(INDEX(PARAMETROS!$J$2:$J700,MATCH(H324,PARAMETROS!$E$2:$E700,0)),""))</f>
        <v/>
      </c>
      <c r="X324" s="23" t="str">
        <f t="shared" si="1"/>
        <v/>
      </c>
    </row>
    <row r="325" spans="1:24">
      <c r="A325" s="12"/>
      <c r="B325" s="12"/>
      <c r="C325" s="12"/>
      <c r="D325" s="12"/>
      <c r="E325" s="12"/>
      <c r="F325" s="12"/>
      <c r="G325" s="12"/>
      <c r="H325" s="12"/>
      <c r="I325" s="12"/>
      <c r="J325" s="14"/>
      <c r="K325" s="12"/>
      <c r="L325" s="14"/>
      <c r="M325" s="12"/>
      <c r="N325" s="12"/>
      <c r="O325" s="14"/>
      <c r="P325" s="12"/>
      <c r="Q325" s="15"/>
      <c r="R325" s="15"/>
      <c r="S325" s="21"/>
      <c r="T325" s="12"/>
      <c r="U325" s="12"/>
      <c r="V325" s="22"/>
      <c r="W325" s="22" t="str">
        <f t="array" ref="W325">IF(A325="","",IFERROR(INDEX(PARAMETROS!$J$2:$J700,MATCH(H325,PARAMETROS!$E$2:$E700,0)),""))</f>
        <v/>
      </c>
      <c r="X325" s="23" t="str">
        <f t="shared" si="1"/>
        <v/>
      </c>
    </row>
    <row r="326" spans="1:24">
      <c r="A326" s="12"/>
      <c r="B326" s="12"/>
      <c r="C326" s="12"/>
      <c r="D326" s="12"/>
      <c r="E326" s="12"/>
      <c r="F326" s="12"/>
      <c r="G326" s="12"/>
      <c r="H326" s="12"/>
      <c r="I326" s="12"/>
      <c r="J326" s="14"/>
      <c r="K326" s="12"/>
      <c r="L326" s="14"/>
      <c r="M326" s="12"/>
      <c r="N326" s="12"/>
      <c r="O326" s="14"/>
      <c r="P326" s="12"/>
      <c r="Q326" s="15"/>
      <c r="R326" s="15"/>
      <c r="S326" s="21"/>
      <c r="T326" s="12"/>
      <c r="U326" s="12"/>
      <c r="V326" s="22"/>
      <c r="W326" s="22" t="str">
        <f t="array" ref="W326">IF(A326="","",IFERROR(INDEX(PARAMETROS!$J$2:$J700,MATCH(H326,PARAMETROS!$E$2:$E700,0)),""))</f>
        <v/>
      </c>
      <c r="X326" s="23" t="str">
        <f t="shared" si="1"/>
        <v/>
      </c>
    </row>
    <row r="327" spans="1:24">
      <c r="A327" s="12"/>
      <c r="B327" s="12"/>
      <c r="C327" s="12"/>
      <c r="D327" s="12"/>
      <c r="E327" s="12"/>
      <c r="F327" s="12"/>
      <c r="G327" s="12"/>
      <c r="H327" s="12"/>
      <c r="I327" s="12"/>
      <c r="J327" s="14"/>
      <c r="K327" s="12"/>
      <c r="L327" s="14"/>
      <c r="M327" s="12"/>
      <c r="N327" s="12"/>
      <c r="O327" s="14"/>
      <c r="P327" s="12"/>
      <c r="Q327" s="15"/>
      <c r="R327" s="15"/>
      <c r="S327" s="21"/>
      <c r="T327" s="12"/>
      <c r="U327" s="12"/>
      <c r="V327" s="22"/>
      <c r="W327" s="22" t="str">
        <f t="array" ref="W327">IF(A327="","",IFERROR(INDEX(PARAMETROS!$J$2:$J700,MATCH(H327,PARAMETROS!$E$2:$E700,0)),""))</f>
        <v/>
      </c>
      <c r="X327" s="23" t="str">
        <f t="shared" si="1"/>
        <v/>
      </c>
    </row>
    <row r="328" spans="1:24">
      <c r="A328" s="12"/>
      <c r="B328" s="12"/>
      <c r="C328" s="12"/>
      <c r="D328" s="12"/>
      <c r="E328" s="12"/>
      <c r="F328" s="12"/>
      <c r="G328" s="12"/>
      <c r="H328" s="12"/>
      <c r="I328" s="12"/>
      <c r="J328" s="14"/>
      <c r="K328" s="12"/>
      <c r="L328" s="14"/>
      <c r="M328" s="12"/>
      <c r="N328" s="12"/>
      <c r="O328" s="14"/>
      <c r="P328" s="12"/>
      <c r="Q328" s="15"/>
      <c r="R328" s="15"/>
      <c r="S328" s="21"/>
      <c r="T328" s="12"/>
      <c r="U328" s="12"/>
      <c r="V328" s="22"/>
      <c r="W328" s="22" t="str">
        <f t="array" ref="W328">IF(A328="","",IFERROR(INDEX(PARAMETROS!$J$2:$J700,MATCH(H328,PARAMETROS!$E$2:$E700,0)),""))</f>
        <v/>
      </c>
      <c r="X328" s="23" t="str">
        <f t="shared" si="1"/>
        <v/>
      </c>
    </row>
    <row r="329" spans="1:24">
      <c r="A329" s="12"/>
      <c r="B329" s="12"/>
      <c r="C329" s="12"/>
      <c r="D329" s="12"/>
      <c r="E329" s="12"/>
      <c r="F329" s="12"/>
      <c r="G329" s="12"/>
      <c r="H329" s="12"/>
      <c r="I329" s="12"/>
      <c r="J329" s="14"/>
      <c r="K329" s="12"/>
      <c r="L329" s="14"/>
      <c r="M329" s="12"/>
      <c r="N329" s="12"/>
      <c r="O329" s="14"/>
      <c r="P329" s="12"/>
      <c r="Q329" s="15"/>
      <c r="R329" s="15"/>
      <c r="S329" s="21"/>
      <c r="T329" s="12"/>
      <c r="U329" s="12"/>
      <c r="V329" s="22"/>
      <c r="W329" s="22" t="str">
        <f t="array" ref="W329">IF(A329="","",IFERROR(INDEX(PARAMETROS!$J$2:$J700,MATCH(H329,PARAMETROS!$E$2:$E700,0)),""))</f>
        <v/>
      </c>
      <c r="X329" s="23" t="str">
        <f t="shared" si="1"/>
        <v/>
      </c>
    </row>
    <row r="330" spans="1:24">
      <c r="A330" s="12"/>
      <c r="B330" s="12"/>
      <c r="C330" s="12"/>
      <c r="D330" s="12"/>
      <c r="E330" s="12"/>
      <c r="F330" s="12"/>
      <c r="G330" s="12"/>
      <c r="H330" s="12"/>
      <c r="I330" s="12"/>
      <c r="J330" s="14"/>
      <c r="K330" s="12"/>
      <c r="L330" s="14"/>
      <c r="M330" s="12"/>
      <c r="N330" s="12"/>
      <c r="O330" s="14"/>
      <c r="P330" s="12"/>
      <c r="Q330" s="15"/>
      <c r="R330" s="15"/>
      <c r="S330" s="21"/>
      <c r="T330" s="12"/>
      <c r="U330" s="12"/>
      <c r="V330" s="22"/>
      <c r="W330" s="22" t="str">
        <f t="array" ref="W330">IF(A330="","",IFERROR(INDEX(PARAMETROS!$J$2:$J700,MATCH(H330,PARAMETROS!$E$2:$E700,0)),""))</f>
        <v/>
      </c>
      <c r="X330" s="23" t="str">
        <f t="shared" si="1"/>
        <v/>
      </c>
    </row>
    <row r="331" spans="1:24">
      <c r="A331" s="12"/>
      <c r="B331" s="12"/>
      <c r="C331" s="12"/>
      <c r="D331" s="12"/>
      <c r="E331" s="12"/>
      <c r="F331" s="12"/>
      <c r="G331" s="12"/>
      <c r="H331" s="12"/>
      <c r="I331" s="12"/>
      <c r="J331" s="14"/>
      <c r="K331" s="12"/>
      <c r="L331" s="14"/>
      <c r="M331" s="12"/>
      <c r="N331" s="12"/>
      <c r="O331" s="14"/>
      <c r="P331" s="12"/>
      <c r="Q331" s="15"/>
      <c r="R331" s="15"/>
      <c r="S331" s="21"/>
      <c r="T331" s="12"/>
      <c r="U331" s="12"/>
      <c r="V331" s="22"/>
      <c r="W331" s="22" t="str">
        <f t="array" ref="W331">IF(A331="","",IFERROR(INDEX(PARAMETROS!$J$2:$J700,MATCH(H331,PARAMETROS!$E$2:$E700,0)),""))</f>
        <v/>
      </c>
      <c r="X331" s="23" t="str">
        <f t="shared" si="1"/>
        <v/>
      </c>
    </row>
    <row r="332" spans="1:24">
      <c r="A332" s="12"/>
      <c r="B332" s="12"/>
      <c r="C332" s="12"/>
      <c r="D332" s="12"/>
      <c r="E332" s="12"/>
      <c r="F332" s="12"/>
      <c r="G332" s="12"/>
      <c r="H332" s="12"/>
      <c r="I332" s="12"/>
      <c r="J332" s="14"/>
      <c r="K332" s="12"/>
      <c r="L332" s="14"/>
      <c r="M332" s="12"/>
      <c r="N332" s="12"/>
      <c r="O332" s="14"/>
      <c r="P332" s="12"/>
      <c r="Q332" s="15"/>
      <c r="R332" s="15"/>
      <c r="S332" s="21"/>
      <c r="T332" s="12"/>
      <c r="U332" s="12"/>
      <c r="V332" s="22"/>
      <c r="W332" s="22" t="str">
        <f t="array" ref="W332">IF(A332="","",IFERROR(INDEX(PARAMETROS!$J$2:$J700,MATCH(H332,PARAMETROS!$E$2:$E700,0)),""))</f>
        <v/>
      </c>
      <c r="X332" s="23" t="str">
        <f t="shared" si="1"/>
        <v/>
      </c>
    </row>
    <row r="333" spans="1:24">
      <c r="A333" s="12"/>
      <c r="B333" s="12"/>
      <c r="C333" s="12"/>
      <c r="D333" s="12"/>
      <c r="E333" s="12"/>
      <c r="F333" s="12"/>
      <c r="G333" s="12"/>
      <c r="H333" s="12"/>
      <c r="I333" s="12"/>
      <c r="J333" s="14"/>
      <c r="K333" s="12"/>
      <c r="L333" s="14"/>
      <c r="M333" s="12"/>
      <c r="N333" s="12"/>
      <c r="O333" s="14"/>
      <c r="P333" s="12"/>
      <c r="Q333" s="15"/>
      <c r="R333" s="15"/>
      <c r="S333" s="21"/>
      <c r="T333" s="12"/>
      <c r="U333" s="12"/>
      <c r="V333" s="22"/>
      <c r="W333" s="22" t="str">
        <f t="array" ref="W333">IF(A333="","",IFERROR(INDEX(PARAMETROS!$J$2:$J700,MATCH(H333,PARAMETROS!$E$2:$E700,0)),""))</f>
        <v/>
      </c>
      <c r="X333" s="23" t="str">
        <f t="shared" si="1"/>
        <v/>
      </c>
    </row>
    <row r="334" spans="1:24">
      <c r="A334" s="12"/>
      <c r="B334" s="12"/>
      <c r="C334" s="12"/>
      <c r="D334" s="12"/>
      <c r="E334" s="12"/>
      <c r="F334" s="12"/>
      <c r="G334" s="12"/>
      <c r="H334" s="12"/>
      <c r="I334" s="12"/>
      <c r="J334" s="14"/>
      <c r="K334" s="12"/>
      <c r="L334" s="14"/>
      <c r="M334" s="12"/>
      <c r="N334" s="12"/>
      <c r="O334" s="14"/>
      <c r="P334" s="12"/>
      <c r="Q334" s="15"/>
      <c r="R334" s="15"/>
      <c r="S334" s="21"/>
      <c r="T334" s="12"/>
      <c r="U334" s="12"/>
      <c r="V334" s="22"/>
      <c r="W334" s="22" t="str">
        <f t="array" ref="W334">IF(A334="","",IFERROR(INDEX(PARAMETROS!$J$2:$J700,MATCH(H334,PARAMETROS!$E$2:$E700,0)),""))</f>
        <v/>
      </c>
      <c r="X334" s="23" t="str">
        <f t="shared" si="1"/>
        <v/>
      </c>
    </row>
    <row r="335" spans="1:24">
      <c r="A335" s="12"/>
      <c r="B335" s="12"/>
      <c r="C335" s="12"/>
      <c r="D335" s="12"/>
      <c r="E335" s="12"/>
      <c r="F335" s="12"/>
      <c r="G335" s="12"/>
      <c r="H335" s="12"/>
      <c r="I335" s="12"/>
      <c r="J335" s="14"/>
      <c r="K335" s="12"/>
      <c r="L335" s="14"/>
      <c r="M335" s="12"/>
      <c r="N335" s="12"/>
      <c r="O335" s="14"/>
      <c r="P335" s="12"/>
      <c r="Q335" s="15"/>
      <c r="R335" s="15"/>
      <c r="S335" s="21"/>
      <c r="T335" s="12"/>
      <c r="U335" s="12"/>
      <c r="V335" s="22"/>
      <c r="W335" s="22" t="str">
        <f t="array" ref="W335">IF(A335="","",IFERROR(INDEX(PARAMETROS!$J$2:$J700,MATCH(H335,PARAMETROS!$E$2:$E700,0)),""))</f>
        <v/>
      </c>
      <c r="X335" s="23" t="str">
        <f t="shared" si="1"/>
        <v/>
      </c>
    </row>
    <row r="336" spans="1:24">
      <c r="A336" s="12"/>
      <c r="B336" s="12"/>
      <c r="C336" s="12"/>
      <c r="D336" s="12"/>
      <c r="E336" s="12"/>
      <c r="F336" s="12"/>
      <c r="G336" s="12"/>
      <c r="H336" s="12"/>
      <c r="I336" s="12"/>
      <c r="J336" s="14"/>
      <c r="K336" s="12"/>
      <c r="L336" s="14"/>
      <c r="M336" s="12"/>
      <c r="N336" s="12"/>
      <c r="O336" s="14"/>
      <c r="P336" s="12"/>
      <c r="Q336" s="15"/>
      <c r="R336" s="15"/>
      <c r="S336" s="21"/>
      <c r="T336" s="12"/>
      <c r="U336" s="12"/>
      <c r="V336" s="22"/>
      <c r="W336" s="22" t="str">
        <f t="array" ref="W336">IF(A336="","",IFERROR(INDEX(PARAMETROS!$J$2:$J700,MATCH(H336,PARAMETROS!$E$2:$E700,0)),""))</f>
        <v/>
      </c>
      <c r="X336" s="23" t="str">
        <f t="shared" si="1"/>
        <v/>
      </c>
    </row>
    <row r="337" spans="1:24">
      <c r="A337" s="12"/>
      <c r="B337" s="12"/>
      <c r="C337" s="12"/>
      <c r="D337" s="12"/>
      <c r="E337" s="12"/>
      <c r="F337" s="12"/>
      <c r="G337" s="12"/>
      <c r="H337" s="12"/>
      <c r="I337" s="12"/>
      <c r="J337" s="14"/>
      <c r="K337" s="12"/>
      <c r="L337" s="14"/>
      <c r="M337" s="12"/>
      <c r="N337" s="12"/>
      <c r="O337" s="14"/>
      <c r="P337" s="12"/>
      <c r="Q337" s="15"/>
      <c r="R337" s="15"/>
      <c r="S337" s="21"/>
      <c r="T337" s="12"/>
      <c r="U337" s="12"/>
      <c r="V337" s="22"/>
      <c r="W337" s="22" t="str">
        <f t="array" ref="W337">IF(A337="","",IFERROR(INDEX(PARAMETROS!$J$2:$J700,MATCH(H337,PARAMETROS!$E$2:$E700,0)),""))</f>
        <v/>
      </c>
      <c r="X337" s="23" t="str">
        <f t="shared" si="1"/>
        <v/>
      </c>
    </row>
    <row r="338" spans="1:24">
      <c r="A338" s="12"/>
      <c r="B338" s="12"/>
      <c r="C338" s="12"/>
      <c r="D338" s="12"/>
      <c r="E338" s="12"/>
      <c r="F338" s="12"/>
      <c r="G338" s="12"/>
      <c r="H338" s="12"/>
      <c r="I338" s="12"/>
      <c r="J338" s="14"/>
      <c r="K338" s="12"/>
      <c r="L338" s="14"/>
      <c r="M338" s="12"/>
      <c r="N338" s="12"/>
      <c r="O338" s="14"/>
      <c r="P338" s="12"/>
      <c r="Q338" s="15"/>
      <c r="R338" s="15"/>
      <c r="S338" s="21"/>
      <c r="T338" s="12"/>
      <c r="U338" s="12"/>
      <c r="V338" s="22"/>
      <c r="W338" s="22" t="str">
        <f t="array" ref="W338">IF(A338="","",IFERROR(INDEX(PARAMETROS!$J$2:$J700,MATCH(H338,PARAMETROS!$E$2:$E700,0)),""))</f>
        <v/>
      </c>
      <c r="X338" s="23" t="str">
        <f t="shared" si="1"/>
        <v/>
      </c>
    </row>
    <row r="339" spans="1:24">
      <c r="A339" s="12"/>
      <c r="B339" s="12"/>
      <c r="C339" s="12"/>
      <c r="D339" s="12"/>
      <c r="E339" s="12"/>
      <c r="F339" s="12"/>
      <c r="G339" s="12"/>
      <c r="H339" s="12"/>
      <c r="I339" s="12"/>
      <c r="J339" s="14"/>
      <c r="K339" s="12"/>
      <c r="L339" s="14"/>
      <c r="M339" s="12"/>
      <c r="N339" s="12"/>
      <c r="O339" s="14"/>
      <c r="P339" s="12"/>
      <c r="Q339" s="15"/>
      <c r="R339" s="15"/>
      <c r="S339" s="21"/>
      <c r="T339" s="12"/>
      <c r="U339" s="12"/>
      <c r="V339" s="22"/>
      <c r="W339" s="22" t="str">
        <f t="array" ref="W339">IF(A339="","",IFERROR(INDEX(PARAMETROS!$J$2:$J700,MATCH(H339,PARAMETROS!$E$2:$E700,0)),""))</f>
        <v/>
      </c>
      <c r="X339" s="23" t="str">
        <f t="shared" si="1"/>
        <v/>
      </c>
    </row>
    <row r="340" spans="1:24">
      <c r="A340" s="12"/>
      <c r="B340" s="12"/>
      <c r="C340" s="12"/>
      <c r="D340" s="12"/>
      <c r="E340" s="12"/>
      <c r="F340" s="12"/>
      <c r="G340" s="12"/>
      <c r="H340" s="12"/>
      <c r="I340" s="12"/>
      <c r="J340" s="14"/>
      <c r="K340" s="12"/>
      <c r="L340" s="14"/>
      <c r="M340" s="12"/>
      <c r="N340" s="12"/>
      <c r="O340" s="14"/>
      <c r="P340" s="12"/>
      <c r="Q340" s="15"/>
      <c r="R340" s="15"/>
      <c r="S340" s="21"/>
      <c r="T340" s="12"/>
      <c r="U340" s="12"/>
      <c r="V340" s="22"/>
      <c r="W340" s="22" t="str">
        <f t="array" ref="W340">IF(A340="","",IFERROR(INDEX(PARAMETROS!$J$2:$J700,MATCH(H340,PARAMETROS!$E$2:$E700,0)),""))</f>
        <v/>
      </c>
      <c r="X340" s="23" t="str">
        <f t="shared" si="1"/>
        <v/>
      </c>
    </row>
    <row r="341" spans="1:24">
      <c r="A341" s="12"/>
      <c r="B341" s="12"/>
      <c r="C341" s="12"/>
      <c r="D341" s="12"/>
      <c r="E341" s="12"/>
      <c r="F341" s="12"/>
      <c r="G341" s="12"/>
      <c r="H341" s="12"/>
      <c r="I341" s="12"/>
      <c r="J341" s="14"/>
      <c r="K341" s="12"/>
      <c r="L341" s="14"/>
      <c r="M341" s="12"/>
      <c r="N341" s="12"/>
      <c r="O341" s="14"/>
      <c r="P341" s="12"/>
      <c r="Q341" s="15"/>
      <c r="R341" s="15"/>
      <c r="S341" s="21"/>
      <c r="T341" s="12"/>
      <c r="U341" s="12"/>
      <c r="V341" s="22"/>
      <c r="W341" s="22" t="str">
        <f t="array" ref="W341">IF(A341="","",IFERROR(INDEX(PARAMETROS!$J$2:$J700,MATCH(H341,PARAMETROS!$E$2:$E700,0)),""))</f>
        <v/>
      </c>
      <c r="X341" s="23" t="str">
        <f t="shared" si="1"/>
        <v/>
      </c>
    </row>
    <row r="342" spans="1:24">
      <c r="A342" s="12"/>
      <c r="B342" s="12"/>
      <c r="C342" s="12"/>
      <c r="D342" s="12"/>
      <c r="E342" s="12"/>
      <c r="F342" s="12"/>
      <c r="G342" s="12"/>
      <c r="H342" s="12"/>
      <c r="I342" s="12"/>
      <c r="J342" s="14"/>
      <c r="K342" s="12"/>
      <c r="L342" s="14"/>
      <c r="M342" s="12"/>
      <c r="N342" s="12"/>
      <c r="O342" s="14"/>
      <c r="P342" s="12"/>
      <c r="Q342" s="15"/>
      <c r="R342" s="15"/>
      <c r="S342" s="21"/>
      <c r="T342" s="12"/>
      <c r="U342" s="12"/>
      <c r="V342" s="22"/>
      <c r="W342" s="22" t="str">
        <f t="array" ref="W342">IF(A342="","",IFERROR(INDEX(PARAMETROS!$J$2:$J700,MATCH(H342,PARAMETROS!$E$2:$E700,0)),""))</f>
        <v/>
      </c>
      <c r="X342" s="23" t="str">
        <f t="shared" si="1"/>
        <v/>
      </c>
    </row>
    <row r="343" spans="1:24">
      <c r="A343" s="12"/>
      <c r="B343" s="12"/>
      <c r="C343" s="12"/>
      <c r="D343" s="12"/>
      <c r="E343" s="12"/>
      <c r="F343" s="12"/>
      <c r="G343" s="12"/>
      <c r="H343" s="12"/>
      <c r="I343" s="12"/>
      <c r="J343" s="14"/>
      <c r="K343" s="12"/>
      <c r="L343" s="14"/>
      <c r="M343" s="12"/>
      <c r="N343" s="12"/>
      <c r="O343" s="14"/>
      <c r="P343" s="12"/>
      <c r="Q343" s="15"/>
      <c r="R343" s="15"/>
      <c r="S343" s="21"/>
      <c r="T343" s="12"/>
      <c r="U343" s="12"/>
      <c r="V343" s="22"/>
      <c r="W343" s="22" t="str">
        <f t="array" ref="W343">IF(A343="","",IFERROR(INDEX(PARAMETROS!$J$2:$J700,MATCH(H343,PARAMETROS!$E$2:$E700,0)),""))</f>
        <v/>
      </c>
      <c r="X343" s="23" t="str">
        <f t="shared" si="1"/>
        <v/>
      </c>
    </row>
    <row r="344" spans="1:24">
      <c r="A344" s="12"/>
      <c r="B344" s="12"/>
      <c r="C344" s="12"/>
      <c r="D344" s="12"/>
      <c r="E344" s="12"/>
      <c r="F344" s="12"/>
      <c r="G344" s="12"/>
      <c r="H344" s="12"/>
      <c r="I344" s="12"/>
      <c r="J344" s="14"/>
      <c r="K344" s="12"/>
      <c r="L344" s="14"/>
      <c r="M344" s="12"/>
      <c r="N344" s="12"/>
      <c r="O344" s="14"/>
      <c r="P344" s="12"/>
      <c r="Q344" s="15"/>
      <c r="R344" s="15"/>
      <c r="S344" s="21"/>
      <c r="T344" s="12"/>
      <c r="U344" s="12"/>
      <c r="V344" s="22"/>
      <c r="W344" s="22" t="str">
        <f t="array" ref="W344">IF(A344="","",IFERROR(INDEX(PARAMETROS!$J$2:$J700,MATCH(H344,PARAMETROS!$E$2:$E700,0)),""))</f>
        <v/>
      </c>
      <c r="X344" s="23" t="str">
        <f t="shared" si="1"/>
        <v/>
      </c>
    </row>
    <row r="345" spans="1:24">
      <c r="A345" s="12"/>
      <c r="B345" s="12"/>
      <c r="C345" s="12"/>
      <c r="D345" s="12"/>
      <c r="E345" s="12"/>
      <c r="F345" s="12"/>
      <c r="G345" s="12"/>
      <c r="H345" s="12"/>
      <c r="I345" s="12"/>
      <c r="J345" s="14"/>
      <c r="K345" s="12"/>
      <c r="L345" s="14"/>
      <c r="M345" s="12"/>
      <c r="N345" s="12"/>
      <c r="O345" s="14"/>
      <c r="P345" s="12"/>
      <c r="Q345" s="15"/>
      <c r="R345" s="15"/>
      <c r="S345" s="21"/>
      <c r="T345" s="12"/>
      <c r="U345" s="12"/>
      <c r="V345" s="22"/>
      <c r="W345" s="22" t="str">
        <f t="array" ref="W345">IF(A345="","",IFERROR(INDEX(PARAMETROS!$J$2:$J700,MATCH(H345,PARAMETROS!$E$2:$E700,0)),""))</f>
        <v/>
      </c>
      <c r="X345" s="23" t="str">
        <f t="shared" si="1"/>
        <v/>
      </c>
    </row>
    <row r="346" spans="1:24">
      <c r="A346" s="12"/>
      <c r="B346" s="12"/>
      <c r="C346" s="12"/>
      <c r="D346" s="12"/>
      <c r="E346" s="12"/>
      <c r="F346" s="12"/>
      <c r="G346" s="12"/>
      <c r="H346" s="12"/>
      <c r="I346" s="12"/>
      <c r="J346" s="14"/>
      <c r="K346" s="12"/>
      <c r="L346" s="14"/>
      <c r="M346" s="12"/>
      <c r="N346" s="12"/>
      <c r="O346" s="14"/>
      <c r="P346" s="12"/>
      <c r="Q346" s="15"/>
      <c r="R346" s="15"/>
      <c r="S346" s="21"/>
      <c r="T346" s="12"/>
      <c r="U346" s="12"/>
      <c r="V346" s="22"/>
      <c r="W346" s="22" t="str">
        <f t="array" ref="W346">IF(A346="","",IFERROR(INDEX(PARAMETROS!$J$2:$J700,MATCH(H346,PARAMETROS!$E$2:$E700,0)),""))</f>
        <v/>
      </c>
      <c r="X346" s="23" t="str">
        <f t="shared" si="1"/>
        <v/>
      </c>
    </row>
    <row r="347" spans="1:24">
      <c r="A347" s="12"/>
      <c r="B347" s="12"/>
      <c r="C347" s="12"/>
      <c r="D347" s="12"/>
      <c r="E347" s="12"/>
      <c r="F347" s="12"/>
      <c r="G347" s="12"/>
      <c r="H347" s="12"/>
      <c r="I347" s="12"/>
      <c r="J347" s="14"/>
      <c r="K347" s="12"/>
      <c r="L347" s="14"/>
      <c r="M347" s="12"/>
      <c r="N347" s="12"/>
      <c r="O347" s="14"/>
      <c r="P347" s="12"/>
      <c r="Q347" s="15"/>
      <c r="R347" s="15"/>
      <c r="S347" s="21"/>
      <c r="T347" s="12"/>
      <c r="U347" s="12"/>
      <c r="V347" s="22"/>
      <c r="W347" s="22" t="str">
        <f t="array" ref="W347">IF(A347="","",IFERROR(INDEX(PARAMETROS!$J$2:$J700,MATCH(H347,PARAMETROS!$E$2:$E700,0)),""))</f>
        <v/>
      </c>
      <c r="X347" s="23" t="str">
        <f t="shared" si="1"/>
        <v/>
      </c>
    </row>
    <row r="348" spans="1:24">
      <c r="A348" s="12"/>
      <c r="B348" s="12"/>
      <c r="C348" s="12"/>
      <c r="D348" s="12"/>
      <c r="E348" s="12"/>
      <c r="F348" s="12"/>
      <c r="G348" s="12"/>
      <c r="H348" s="12"/>
      <c r="I348" s="12"/>
      <c r="J348" s="14"/>
      <c r="K348" s="12"/>
      <c r="L348" s="14"/>
      <c r="M348" s="12"/>
      <c r="N348" s="12"/>
      <c r="O348" s="14"/>
      <c r="P348" s="12"/>
      <c r="Q348" s="15"/>
      <c r="R348" s="15"/>
      <c r="S348" s="21"/>
      <c r="T348" s="12"/>
      <c r="U348" s="12"/>
      <c r="V348" s="22"/>
      <c r="W348" s="22" t="str">
        <f t="array" ref="W348">IF(A348="","",IFERROR(INDEX(PARAMETROS!$J$2:$J700,MATCH(H348,PARAMETROS!$E$2:$E700,0)),""))</f>
        <v/>
      </c>
      <c r="X348" s="23" t="str">
        <f t="shared" si="1"/>
        <v/>
      </c>
    </row>
    <row r="349" spans="1:24">
      <c r="A349" s="12"/>
      <c r="B349" s="12"/>
      <c r="C349" s="12"/>
      <c r="D349" s="12"/>
      <c r="E349" s="12"/>
      <c r="F349" s="12"/>
      <c r="G349" s="12"/>
      <c r="H349" s="12"/>
      <c r="I349" s="12"/>
      <c r="J349" s="14"/>
      <c r="K349" s="12"/>
      <c r="L349" s="14"/>
      <c r="M349" s="12"/>
      <c r="N349" s="12"/>
      <c r="O349" s="14"/>
      <c r="P349" s="12"/>
      <c r="Q349" s="15"/>
      <c r="R349" s="15"/>
      <c r="S349" s="21"/>
      <c r="T349" s="12"/>
      <c r="U349" s="12"/>
      <c r="V349" s="22"/>
      <c r="W349" s="22" t="str">
        <f t="array" ref="W349">IF(A349="","",IFERROR(INDEX(PARAMETROS!$J$2:$J700,MATCH(H349,PARAMETROS!$E$2:$E700,0)),""))</f>
        <v/>
      </c>
      <c r="X349" s="23" t="str">
        <f t="shared" si="1"/>
        <v/>
      </c>
    </row>
    <row r="350" spans="1:24">
      <c r="A350" s="12"/>
      <c r="B350" s="12"/>
      <c r="C350" s="12"/>
      <c r="D350" s="12"/>
      <c r="E350" s="12"/>
      <c r="F350" s="12"/>
      <c r="G350" s="12"/>
      <c r="H350" s="12"/>
      <c r="I350" s="12"/>
      <c r="J350" s="14"/>
      <c r="K350" s="12"/>
      <c r="L350" s="14"/>
      <c r="M350" s="12"/>
      <c r="N350" s="12"/>
      <c r="O350" s="14"/>
      <c r="P350" s="12"/>
      <c r="Q350" s="15"/>
      <c r="R350" s="15"/>
      <c r="S350" s="21"/>
      <c r="T350" s="12"/>
      <c r="U350" s="12"/>
      <c r="V350" s="22"/>
      <c r="W350" s="22" t="str">
        <f t="array" ref="W350">IF(A350="","",IFERROR(INDEX(PARAMETROS!$J$2:$J700,MATCH(H350,PARAMETROS!$E$2:$E700,0)),""))</f>
        <v/>
      </c>
      <c r="X350" s="23" t="str">
        <f t="shared" si="1"/>
        <v/>
      </c>
    </row>
    <row r="351" spans="1:24">
      <c r="A351" s="12"/>
      <c r="B351" s="12"/>
      <c r="C351" s="12"/>
      <c r="D351" s="12"/>
      <c r="E351" s="12"/>
      <c r="F351" s="12"/>
      <c r="G351" s="12"/>
      <c r="H351" s="12"/>
      <c r="I351" s="12"/>
      <c r="J351" s="14"/>
      <c r="K351" s="12"/>
      <c r="L351" s="14"/>
      <c r="M351" s="12"/>
      <c r="N351" s="12"/>
      <c r="O351" s="14"/>
      <c r="P351" s="12"/>
      <c r="Q351" s="15"/>
      <c r="R351" s="15"/>
      <c r="S351" s="21"/>
      <c r="T351" s="12"/>
      <c r="U351" s="12"/>
      <c r="V351" s="22"/>
      <c r="W351" s="22" t="str">
        <f t="array" ref="W351">IF(A351="","",IFERROR(INDEX(PARAMETROS!$J$2:$J700,MATCH(H351,PARAMETROS!$E$2:$E700,0)),""))</f>
        <v/>
      </c>
      <c r="X351" s="23" t="str">
        <f t="shared" si="1"/>
        <v/>
      </c>
    </row>
    <row r="352" spans="1:24">
      <c r="A352" s="12"/>
      <c r="B352" s="12"/>
      <c r="C352" s="12"/>
      <c r="D352" s="12"/>
      <c r="E352" s="12"/>
      <c r="F352" s="12"/>
      <c r="G352" s="12"/>
      <c r="H352" s="12"/>
      <c r="I352" s="12"/>
      <c r="J352" s="14"/>
      <c r="K352" s="12"/>
      <c r="L352" s="14"/>
      <c r="M352" s="12"/>
      <c r="N352" s="12"/>
      <c r="O352" s="14"/>
      <c r="P352" s="12"/>
      <c r="Q352" s="15"/>
      <c r="R352" s="15"/>
      <c r="S352" s="21"/>
      <c r="T352" s="12"/>
      <c r="U352" s="12"/>
      <c r="V352" s="22"/>
      <c r="W352" s="22" t="str">
        <f t="array" ref="W352">IF(A352="","",IFERROR(INDEX(PARAMETROS!$J$2:$J700,MATCH(H352,PARAMETROS!$E$2:$E700,0)),""))</f>
        <v/>
      </c>
      <c r="X352" s="23" t="str">
        <f t="shared" si="1"/>
        <v/>
      </c>
    </row>
    <row r="353" spans="1:24">
      <c r="A353" s="12"/>
      <c r="B353" s="12"/>
      <c r="C353" s="12"/>
      <c r="D353" s="12"/>
      <c r="E353" s="12"/>
      <c r="F353" s="12"/>
      <c r="G353" s="12"/>
      <c r="H353" s="12"/>
      <c r="I353" s="12"/>
      <c r="J353" s="14"/>
      <c r="K353" s="12"/>
      <c r="L353" s="14"/>
      <c r="M353" s="12"/>
      <c r="N353" s="12"/>
      <c r="O353" s="14"/>
      <c r="P353" s="12"/>
      <c r="Q353" s="15"/>
      <c r="R353" s="15"/>
      <c r="S353" s="21"/>
      <c r="T353" s="12"/>
      <c r="U353" s="12"/>
      <c r="V353" s="22"/>
      <c r="W353" s="22" t="str">
        <f t="array" ref="W353">IF(A353="","",IFERROR(INDEX(PARAMETROS!$J$2:$J700,MATCH(H353,PARAMETROS!$E$2:$E700,0)),""))</f>
        <v/>
      </c>
      <c r="X353" s="23" t="str">
        <f t="shared" si="1"/>
        <v/>
      </c>
    </row>
    <row r="354" spans="1:24">
      <c r="A354" s="12"/>
      <c r="B354" s="12"/>
      <c r="C354" s="12"/>
      <c r="D354" s="12"/>
      <c r="E354" s="12"/>
      <c r="F354" s="12"/>
      <c r="G354" s="12"/>
      <c r="H354" s="12"/>
      <c r="I354" s="12"/>
      <c r="J354" s="14"/>
      <c r="K354" s="12"/>
      <c r="L354" s="14"/>
      <c r="M354" s="12"/>
      <c r="N354" s="12"/>
      <c r="O354" s="14"/>
      <c r="P354" s="12"/>
      <c r="Q354" s="15"/>
      <c r="R354" s="15"/>
      <c r="S354" s="21"/>
      <c r="T354" s="12"/>
      <c r="U354" s="12"/>
      <c r="V354" s="22"/>
      <c r="W354" s="22" t="str">
        <f t="array" ref="W354">IF(A354="","",IFERROR(INDEX(PARAMETROS!$J$2:$J700,MATCH(H354,PARAMETROS!$E$2:$E700,0)),""))</f>
        <v/>
      </c>
      <c r="X354" s="23" t="str">
        <f t="shared" si="1"/>
        <v/>
      </c>
    </row>
    <row r="355" spans="1:24">
      <c r="A355" s="12"/>
      <c r="B355" s="12"/>
      <c r="C355" s="12"/>
      <c r="D355" s="12"/>
      <c r="E355" s="12"/>
      <c r="F355" s="12"/>
      <c r="G355" s="12"/>
      <c r="H355" s="12"/>
      <c r="I355" s="12"/>
      <c r="J355" s="14"/>
      <c r="K355" s="12"/>
      <c r="L355" s="14"/>
      <c r="M355" s="12"/>
      <c r="N355" s="12"/>
      <c r="O355" s="14"/>
      <c r="P355" s="12"/>
      <c r="Q355" s="15"/>
      <c r="R355" s="15"/>
      <c r="S355" s="21"/>
      <c r="T355" s="12"/>
      <c r="U355" s="12"/>
      <c r="V355" s="22"/>
      <c r="W355" s="22" t="str">
        <f t="array" ref="W355">IF(A355="","",IFERROR(INDEX(PARAMETROS!$J$2:$J700,MATCH(H355,PARAMETROS!$E$2:$E700,0)),""))</f>
        <v/>
      </c>
      <c r="X355" s="23" t="str">
        <f t="shared" si="1"/>
        <v/>
      </c>
    </row>
    <row r="356" spans="1:24">
      <c r="A356" s="12"/>
      <c r="B356" s="12"/>
      <c r="C356" s="12"/>
      <c r="D356" s="12"/>
      <c r="E356" s="12"/>
      <c r="F356" s="12"/>
      <c r="G356" s="12"/>
      <c r="H356" s="12"/>
      <c r="I356" s="12"/>
      <c r="J356" s="14"/>
      <c r="K356" s="12"/>
      <c r="L356" s="14"/>
      <c r="M356" s="12"/>
      <c r="N356" s="12"/>
      <c r="O356" s="14"/>
      <c r="P356" s="12"/>
      <c r="Q356" s="15"/>
      <c r="R356" s="15"/>
      <c r="S356" s="21"/>
      <c r="T356" s="12"/>
      <c r="U356" s="12"/>
      <c r="V356" s="22"/>
      <c r="W356" s="22" t="str">
        <f t="array" ref="W356">IF(A356="","",IFERROR(INDEX(PARAMETROS!$J$2:$J700,MATCH(H356,PARAMETROS!$E$2:$E700,0)),""))</f>
        <v/>
      </c>
      <c r="X356" s="23" t="str">
        <f t="shared" si="1"/>
        <v/>
      </c>
    </row>
    <row r="357" spans="1:24">
      <c r="A357" s="12"/>
      <c r="B357" s="12"/>
      <c r="C357" s="12"/>
      <c r="D357" s="12"/>
      <c r="E357" s="12"/>
      <c r="F357" s="12"/>
      <c r="G357" s="12"/>
      <c r="H357" s="12"/>
      <c r="I357" s="12"/>
      <c r="J357" s="14"/>
      <c r="K357" s="12"/>
      <c r="L357" s="14"/>
      <c r="M357" s="12"/>
      <c r="N357" s="12"/>
      <c r="O357" s="14"/>
      <c r="P357" s="12"/>
      <c r="Q357" s="15"/>
      <c r="R357" s="15"/>
      <c r="S357" s="21"/>
      <c r="T357" s="12"/>
      <c r="U357" s="12"/>
      <c r="V357" s="22"/>
      <c r="W357" s="22" t="str">
        <f t="array" ref="W357">IF(A357="","",IFERROR(INDEX(PARAMETROS!$J$2:$J700,MATCH(H357,PARAMETROS!$E$2:$E700,0)),""))</f>
        <v/>
      </c>
      <c r="X357" s="23" t="str">
        <f t="shared" si="1"/>
        <v/>
      </c>
    </row>
    <row r="358" spans="1:24">
      <c r="A358" s="12"/>
      <c r="B358" s="12"/>
      <c r="C358" s="12"/>
      <c r="D358" s="12"/>
      <c r="E358" s="12"/>
      <c r="F358" s="12"/>
      <c r="G358" s="12"/>
      <c r="H358" s="12"/>
      <c r="I358" s="12"/>
      <c r="J358" s="14"/>
      <c r="K358" s="12"/>
      <c r="L358" s="14"/>
      <c r="M358" s="12"/>
      <c r="N358" s="12"/>
      <c r="O358" s="14"/>
      <c r="P358" s="12"/>
      <c r="Q358" s="15"/>
      <c r="R358" s="15"/>
      <c r="S358" s="21"/>
      <c r="T358" s="12"/>
      <c r="U358" s="12"/>
      <c r="V358" s="22"/>
      <c r="W358" s="22" t="str">
        <f t="array" ref="W358">IF(A358="","",IFERROR(INDEX(PARAMETROS!$J$2:$J700,MATCH(H358,PARAMETROS!$E$2:$E700,0)),""))</f>
        <v/>
      </c>
      <c r="X358" s="23" t="str">
        <f t="shared" si="1"/>
        <v/>
      </c>
    </row>
    <row r="359" spans="1:24">
      <c r="A359" s="12"/>
      <c r="B359" s="12"/>
      <c r="C359" s="12"/>
      <c r="D359" s="12"/>
      <c r="E359" s="12"/>
      <c r="F359" s="12"/>
      <c r="G359" s="12"/>
      <c r="H359" s="12"/>
      <c r="I359" s="12"/>
      <c r="J359" s="14"/>
      <c r="K359" s="12"/>
      <c r="L359" s="14"/>
      <c r="M359" s="12"/>
      <c r="N359" s="12"/>
      <c r="O359" s="14"/>
      <c r="P359" s="12"/>
      <c r="Q359" s="15"/>
      <c r="R359" s="15"/>
      <c r="S359" s="21"/>
      <c r="T359" s="12"/>
      <c r="U359" s="12"/>
      <c r="V359" s="22"/>
      <c r="W359" s="22" t="str">
        <f t="array" ref="W359">IF(A359="","",IFERROR(INDEX(PARAMETROS!$J$2:$J700,MATCH(H359,PARAMETROS!$E$2:$E700,0)),""))</f>
        <v/>
      </c>
      <c r="X359" s="23" t="str">
        <f t="shared" si="1"/>
        <v/>
      </c>
    </row>
    <row r="360" spans="1:24">
      <c r="A360" s="12"/>
      <c r="B360" s="12"/>
      <c r="C360" s="12"/>
      <c r="D360" s="12"/>
      <c r="E360" s="12"/>
      <c r="F360" s="12"/>
      <c r="G360" s="12"/>
      <c r="H360" s="12"/>
      <c r="I360" s="12"/>
      <c r="J360" s="14"/>
      <c r="K360" s="12"/>
      <c r="L360" s="14"/>
      <c r="M360" s="12"/>
      <c r="N360" s="12"/>
      <c r="O360" s="14"/>
      <c r="P360" s="12"/>
      <c r="Q360" s="15"/>
      <c r="R360" s="15"/>
      <c r="S360" s="21"/>
      <c r="T360" s="12"/>
      <c r="U360" s="12"/>
      <c r="V360" s="22"/>
      <c r="W360" s="22" t="str">
        <f t="array" ref="W360">IF(A360="","",IFERROR(INDEX(PARAMETROS!$J$2:$J700,MATCH(H360,PARAMETROS!$E$2:$E700,0)),""))</f>
        <v/>
      </c>
      <c r="X360" s="23" t="str">
        <f t="shared" si="1"/>
        <v/>
      </c>
    </row>
    <row r="361" spans="1:24">
      <c r="A361" s="12"/>
      <c r="B361" s="12"/>
      <c r="C361" s="12"/>
      <c r="D361" s="12"/>
      <c r="E361" s="12"/>
      <c r="F361" s="12"/>
      <c r="G361" s="12"/>
      <c r="H361" s="12"/>
      <c r="I361" s="12"/>
      <c r="J361" s="14"/>
      <c r="K361" s="12"/>
      <c r="L361" s="14"/>
      <c r="M361" s="12"/>
      <c r="N361" s="12"/>
      <c r="O361" s="14"/>
      <c r="P361" s="12"/>
      <c r="Q361" s="15"/>
      <c r="R361" s="15"/>
      <c r="S361" s="21"/>
      <c r="T361" s="12"/>
      <c r="U361" s="12"/>
      <c r="V361" s="22"/>
      <c r="W361" s="22" t="str">
        <f t="array" ref="W361">IF(A361="","",IFERROR(INDEX(PARAMETROS!$J$2:$J700,MATCH(H361,PARAMETROS!$E$2:$E700,0)),""))</f>
        <v/>
      </c>
      <c r="X361" s="23" t="str">
        <f t="shared" si="1"/>
        <v/>
      </c>
    </row>
    <row r="362" spans="1:24">
      <c r="A362" s="12"/>
      <c r="B362" s="12"/>
      <c r="C362" s="12"/>
      <c r="D362" s="12"/>
      <c r="E362" s="12"/>
      <c r="F362" s="12"/>
      <c r="G362" s="12"/>
      <c r="H362" s="12"/>
      <c r="I362" s="12"/>
      <c r="J362" s="14"/>
      <c r="K362" s="12"/>
      <c r="L362" s="14"/>
      <c r="M362" s="12"/>
      <c r="N362" s="12"/>
      <c r="O362" s="14"/>
      <c r="P362" s="12"/>
      <c r="Q362" s="15"/>
      <c r="R362" s="15"/>
      <c r="S362" s="21"/>
      <c r="T362" s="12"/>
      <c r="U362" s="12"/>
      <c r="V362" s="22"/>
      <c r="W362" s="22" t="str">
        <f t="array" ref="W362">IF(A362="","",IFERROR(INDEX(PARAMETROS!$J$2:$J700,MATCH(H362,PARAMETROS!$E$2:$E700,0)),""))</f>
        <v/>
      </c>
      <c r="X362" s="23" t="str">
        <f t="shared" si="1"/>
        <v/>
      </c>
    </row>
    <row r="363" spans="1:24">
      <c r="A363" s="12"/>
      <c r="B363" s="12"/>
      <c r="C363" s="12"/>
      <c r="D363" s="12"/>
      <c r="E363" s="12"/>
      <c r="F363" s="12"/>
      <c r="G363" s="12"/>
      <c r="H363" s="12"/>
      <c r="I363" s="12"/>
      <c r="J363" s="14"/>
      <c r="K363" s="12"/>
      <c r="L363" s="14"/>
      <c r="M363" s="12"/>
      <c r="N363" s="12"/>
      <c r="O363" s="14"/>
      <c r="P363" s="12"/>
      <c r="Q363" s="15"/>
      <c r="R363" s="15"/>
      <c r="S363" s="21"/>
      <c r="T363" s="12"/>
      <c r="U363" s="12"/>
      <c r="V363" s="22"/>
      <c r="W363" s="22" t="str">
        <f t="array" ref="W363">IF(A363="","",IFERROR(INDEX(PARAMETROS!$J$2:$J700,MATCH(H363,PARAMETROS!$E$2:$E700,0)),""))</f>
        <v/>
      </c>
      <c r="X363" s="23" t="str">
        <f t="shared" si="1"/>
        <v/>
      </c>
    </row>
    <row r="364" spans="1:24">
      <c r="A364" s="12"/>
      <c r="B364" s="12"/>
      <c r="C364" s="12"/>
      <c r="D364" s="12"/>
      <c r="E364" s="12"/>
      <c r="F364" s="12"/>
      <c r="G364" s="12"/>
      <c r="H364" s="12"/>
      <c r="I364" s="12"/>
      <c r="J364" s="14"/>
      <c r="K364" s="12"/>
      <c r="L364" s="14"/>
      <c r="M364" s="12"/>
      <c r="N364" s="12"/>
      <c r="O364" s="14"/>
      <c r="P364" s="12"/>
      <c r="Q364" s="15"/>
      <c r="R364" s="15"/>
      <c r="S364" s="21"/>
      <c r="T364" s="12"/>
      <c r="U364" s="12"/>
      <c r="V364" s="22"/>
      <c r="W364" s="22" t="str">
        <f t="array" ref="W364">IF(A364="","",IFERROR(INDEX(PARAMETROS!$J$2:$J700,MATCH(H364,PARAMETROS!$E$2:$E700,0)),""))</f>
        <v/>
      </c>
      <c r="X364" s="23" t="str">
        <f t="shared" si="1"/>
        <v/>
      </c>
    </row>
    <row r="365" spans="1:24">
      <c r="A365" s="12"/>
      <c r="B365" s="12"/>
      <c r="C365" s="12"/>
      <c r="D365" s="12"/>
      <c r="E365" s="12"/>
      <c r="F365" s="12"/>
      <c r="G365" s="12"/>
      <c r="H365" s="12"/>
      <c r="I365" s="12"/>
      <c r="J365" s="14"/>
      <c r="K365" s="12"/>
      <c r="L365" s="14"/>
      <c r="M365" s="12"/>
      <c r="N365" s="12"/>
      <c r="O365" s="14"/>
      <c r="P365" s="12"/>
      <c r="Q365" s="15"/>
      <c r="R365" s="15"/>
      <c r="S365" s="21"/>
      <c r="T365" s="12"/>
      <c r="U365" s="12"/>
      <c r="V365" s="22"/>
      <c r="W365" s="22" t="str">
        <f t="array" ref="W365">IF(A365="","",IFERROR(INDEX(PARAMETROS!$J$2:$J700,MATCH(H365,PARAMETROS!$E$2:$E700,0)),""))</f>
        <v/>
      </c>
      <c r="X365" s="23" t="str">
        <f t="shared" si="1"/>
        <v/>
      </c>
    </row>
    <row r="366" spans="1:24">
      <c r="A366" s="12"/>
      <c r="B366" s="12"/>
      <c r="C366" s="12"/>
      <c r="D366" s="12"/>
      <c r="E366" s="12"/>
      <c r="F366" s="12"/>
      <c r="G366" s="12"/>
      <c r="H366" s="12"/>
      <c r="I366" s="12"/>
      <c r="J366" s="14"/>
      <c r="K366" s="12"/>
      <c r="L366" s="14"/>
      <c r="M366" s="12"/>
      <c r="N366" s="12"/>
      <c r="O366" s="14"/>
      <c r="P366" s="12"/>
      <c r="Q366" s="15"/>
      <c r="R366" s="15"/>
      <c r="S366" s="21"/>
      <c r="T366" s="12"/>
      <c r="U366" s="12"/>
      <c r="V366" s="22"/>
      <c r="W366" s="22" t="str">
        <f t="array" ref="W366">IF(A366="","",IFERROR(INDEX(PARAMETROS!$J$2:$J700,MATCH(H366,PARAMETROS!$E$2:$E700,0)),""))</f>
        <v/>
      </c>
      <c r="X366" s="23" t="str">
        <f t="shared" si="1"/>
        <v/>
      </c>
    </row>
    <row r="367" spans="1:24">
      <c r="A367" s="12"/>
      <c r="B367" s="12"/>
      <c r="C367" s="12"/>
      <c r="D367" s="12"/>
      <c r="E367" s="12"/>
      <c r="F367" s="12"/>
      <c r="G367" s="12"/>
      <c r="H367" s="12"/>
      <c r="I367" s="12"/>
      <c r="J367" s="14"/>
      <c r="K367" s="12"/>
      <c r="L367" s="14"/>
      <c r="M367" s="12"/>
      <c r="N367" s="12"/>
      <c r="O367" s="14"/>
      <c r="P367" s="12"/>
      <c r="Q367" s="15"/>
      <c r="R367" s="15"/>
      <c r="S367" s="21"/>
      <c r="T367" s="12"/>
      <c r="U367" s="12"/>
      <c r="V367" s="22"/>
      <c r="W367" s="22" t="str">
        <f t="array" ref="W367">IF(A367="","",IFERROR(INDEX(PARAMETROS!$J$2:$J700,MATCH(H367,PARAMETROS!$E$2:$E700,0)),""))</f>
        <v/>
      </c>
      <c r="X367" s="23" t="str">
        <f t="shared" si="1"/>
        <v/>
      </c>
    </row>
    <row r="368" spans="1:24">
      <c r="A368" s="12"/>
      <c r="B368" s="12"/>
      <c r="C368" s="12"/>
      <c r="D368" s="12"/>
      <c r="E368" s="12"/>
      <c r="F368" s="12"/>
      <c r="G368" s="12"/>
      <c r="H368" s="12"/>
      <c r="I368" s="12"/>
      <c r="J368" s="14"/>
      <c r="K368" s="12"/>
      <c r="L368" s="14"/>
      <c r="M368" s="12"/>
      <c r="N368" s="12"/>
      <c r="O368" s="14"/>
      <c r="P368" s="12"/>
      <c r="Q368" s="15"/>
      <c r="R368" s="15"/>
      <c r="S368" s="21"/>
      <c r="T368" s="12"/>
      <c r="U368" s="12"/>
      <c r="V368" s="22"/>
      <c r="W368" s="22" t="str">
        <f t="array" ref="W368">IF(A368="","",IFERROR(INDEX(PARAMETROS!$J$2:$J700,MATCH(H368,PARAMETROS!$E$2:$E700,0)),""))</f>
        <v/>
      </c>
      <c r="X368" s="23" t="str">
        <f t="shared" si="1"/>
        <v/>
      </c>
    </row>
    <row r="369" spans="1:24">
      <c r="A369" s="12"/>
      <c r="B369" s="12"/>
      <c r="C369" s="12"/>
      <c r="D369" s="12"/>
      <c r="E369" s="12"/>
      <c r="F369" s="12"/>
      <c r="G369" s="12"/>
      <c r="H369" s="12"/>
      <c r="I369" s="12"/>
      <c r="J369" s="14"/>
      <c r="K369" s="12"/>
      <c r="L369" s="14"/>
      <c r="M369" s="12"/>
      <c r="N369" s="12"/>
      <c r="O369" s="14"/>
      <c r="P369" s="12"/>
      <c r="Q369" s="15"/>
      <c r="R369" s="15"/>
      <c r="S369" s="21"/>
      <c r="T369" s="12"/>
      <c r="U369" s="12"/>
      <c r="V369" s="22"/>
      <c r="W369" s="22" t="str">
        <f t="array" ref="W369">IF(A369="","",IFERROR(INDEX(PARAMETROS!$J$2:$J700,MATCH(H369,PARAMETROS!$E$2:$E700,0)),""))</f>
        <v/>
      </c>
      <c r="X369" s="23" t="str">
        <f t="shared" si="1"/>
        <v/>
      </c>
    </row>
    <row r="370" spans="1:24">
      <c r="A370" s="12"/>
      <c r="B370" s="12"/>
      <c r="C370" s="12"/>
      <c r="D370" s="12"/>
      <c r="E370" s="12"/>
      <c r="F370" s="12"/>
      <c r="G370" s="12"/>
      <c r="H370" s="12"/>
      <c r="I370" s="12"/>
      <c r="J370" s="14"/>
      <c r="K370" s="12"/>
      <c r="L370" s="14"/>
      <c r="M370" s="12"/>
      <c r="N370" s="12"/>
      <c r="O370" s="14"/>
      <c r="P370" s="12"/>
      <c r="Q370" s="15"/>
      <c r="R370" s="15"/>
      <c r="S370" s="21"/>
      <c r="T370" s="12"/>
      <c r="U370" s="12"/>
      <c r="V370" s="22"/>
      <c r="W370" s="22" t="str">
        <f t="array" ref="W370">IF(A370="","",IFERROR(INDEX(PARAMETROS!$J$2:$J700,MATCH(H370,PARAMETROS!$E$2:$E700,0)),""))</f>
        <v/>
      </c>
      <c r="X370" s="23" t="str">
        <f t="shared" si="1"/>
        <v/>
      </c>
    </row>
    <row r="371" spans="1:24">
      <c r="A371" s="12"/>
      <c r="B371" s="12"/>
      <c r="C371" s="12"/>
      <c r="D371" s="12"/>
      <c r="E371" s="12"/>
      <c r="F371" s="12"/>
      <c r="G371" s="12"/>
      <c r="H371" s="12"/>
      <c r="I371" s="12"/>
      <c r="J371" s="14"/>
      <c r="K371" s="12"/>
      <c r="L371" s="14"/>
      <c r="M371" s="12"/>
      <c r="N371" s="12"/>
      <c r="O371" s="14"/>
      <c r="P371" s="12"/>
      <c r="Q371" s="15"/>
      <c r="R371" s="15"/>
      <c r="S371" s="21"/>
      <c r="T371" s="12"/>
      <c r="U371" s="12"/>
      <c r="V371" s="22"/>
      <c r="W371" s="22" t="str">
        <f t="array" ref="W371">IF(A371="","",IFERROR(INDEX(PARAMETROS!$J$2:$J700,MATCH(H371,PARAMETROS!$E$2:$E700,0)),""))</f>
        <v/>
      </c>
      <c r="X371" s="23" t="str">
        <f t="shared" si="1"/>
        <v/>
      </c>
    </row>
    <row r="372" spans="1:24">
      <c r="A372" s="12"/>
      <c r="B372" s="12"/>
      <c r="C372" s="12"/>
      <c r="D372" s="12"/>
      <c r="E372" s="12"/>
      <c r="F372" s="12"/>
      <c r="G372" s="12"/>
      <c r="H372" s="12"/>
      <c r="I372" s="12"/>
      <c r="J372" s="14"/>
      <c r="K372" s="12"/>
      <c r="L372" s="14"/>
      <c r="M372" s="12"/>
      <c r="N372" s="12"/>
      <c r="O372" s="14"/>
      <c r="P372" s="12"/>
      <c r="Q372" s="15"/>
      <c r="R372" s="15"/>
      <c r="S372" s="21"/>
      <c r="T372" s="12"/>
      <c r="U372" s="12"/>
      <c r="V372" s="22"/>
      <c r="W372" s="22" t="str">
        <f t="array" ref="W372">IF(A372="","",IFERROR(INDEX(PARAMETROS!$J$2:$J700,MATCH(H372,PARAMETROS!$E$2:$E700,0)),""))</f>
        <v/>
      </c>
      <c r="X372" s="23" t="str">
        <f t="shared" si="1"/>
        <v/>
      </c>
    </row>
    <row r="373" spans="1:24">
      <c r="A373" s="12"/>
      <c r="B373" s="12"/>
      <c r="C373" s="12"/>
      <c r="D373" s="12"/>
      <c r="E373" s="12"/>
      <c r="F373" s="12"/>
      <c r="G373" s="12"/>
      <c r="H373" s="12"/>
      <c r="I373" s="12"/>
      <c r="J373" s="14"/>
      <c r="K373" s="12"/>
      <c r="L373" s="14"/>
      <c r="M373" s="12"/>
      <c r="N373" s="12"/>
      <c r="O373" s="14"/>
      <c r="P373" s="12"/>
      <c r="Q373" s="15"/>
      <c r="R373" s="15"/>
      <c r="S373" s="21"/>
      <c r="T373" s="12"/>
      <c r="U373" s="12"/>
      <c r="V373" s="22"/>
      <c r="W373" s="22" t="str">
        <f t="array" ref="W373">IF(A373="","",IFERROR(INDEX(PARAMETROS!$J$2:$J700,MATCH(H373,PARAMETROS!$E$2:$E700,0)),""))</f>
        <v/>
      </c>
      <c r="X373" s="23" t="str">
        <f t="shared" si="1"/>
        <v/>
      </c>
    </row>
    <row r="374" spans="1:24">
      <c r="A374" s="12"/>
      <c r="B374" s="12"/>
      <c r="C374" s="12"/>
      <c r="D374" s="12"/>
      <c r="E374" s="12"/>
      <c r="F374" s="12"/>
      <c r="G374" s="12"/>
      <c r="H374" s="12"/>
      <c r="I374" s="12"/>
      <c r="J374" s="14"/>
      <c r="K374" s="12"/>
      <c r="L374" s="14"/>
      <c r="M374" s="12"/>
      <c r="N374" s="12"/>
      <c r="O374" s="14"/>
      <c r="P374" s="12"/>
      <c r="Q374" s="15"/>
      <c r="R374" s="15"/>
      <c r="S374" s="21"/>
      <c r="T374" s="12"/>
      <c r="U374" s="12"/>
      <c r="V374" s="22"/>
      <c r="W374" s="22" t="str">
        <f t="array" ref="W374">IF(A374="","",IFERROR(INDEX(PARAMETROS!$J$2:$J700,MATCH(H374,PARAMETROS!$E$2:$E700,0)),""))</f>
        <v/>
      </c>
      <c r="X374" s="23" t="str">
        <f t="shared" si="1"/>
        <v/>
      </c>
    </row>
    <row r="375" spans="1:24">
      <c r="A375" s="12"/>
      <c r="B375" s="12"/>
      <c r="C375" s="12"/>
      <c r="D375" s="12"/>
      <c r="E375" s="12"/>
      <c r="F375" s="12"/>
      <c r="G375" s="12"/>
      <c r="H375" s="12"/>
      <c r="I375" s="12"/>
      <c r="J375" s="14"/>
      <c r="K375" s="12"/>
      <c r="L375" s="14"/>
      <c r="M375" s="12"/>
      <c r="N375" s="12"/>
      <c r="O375" s="14"/>
      <c r="P375" s="12"/>
      <c r="Q375" s="15"/>
      <c r="R375" s="15"/>
      <c r="S375" s="21"/>
      <c r="T375" s="12"/>
      <c r="U375" s="12"/>
      <c r="V375" s="22"/>
      <c r="W375" s="22" t="str">
        <f t="array" ref="W375">IF(A375="","",IFERROR(INDEX(PARAMETROS!$J$2:$J700,MATCH(H375,PARAMETROS!$E$2:$E700,0)),""))</f>
        <v/>
      </c>
      <c r="X375" s="23" t="str">
        <f t="shared" si="1"/>
        <v/>
      </c>
    </row>
    <row r="376" spans="1:24">
      <c r="A376" s="12"/>
      <c r="B376" s="12"/>
      <c r="C376" s="12"/>
      <c r="D376" s="12"/>
      <c r="E376" s="12"/>
      <c r="F376" s="12"/>
      <c r="G376" s="12"/>
      <c r="H376" s="12"/>
      <c r="I376" s="12"/>
      <c r="J376" s="14"/>
      <c r="K376" s="12"/>
      <c r="L376" s="14"/>
      <c r="M376" s="12"/>
      <c r="N376" s="12"/>
      <c r="O376" s="14"/>
      <c r="P376" s="12"/>
      <c r="Q376" s="15"/>
      <c r="R376" s="15"/>
      <c r="S376" s="21"/>
      <c r="T376" s="12"/>
      <c r="U376" s="12"/>
      <c r="V376" s="22"/>
      <c r="W376" s="22" t="str">
        <f t="array" ref="W376">IF(A376="","",IFERROR(INDEX(PARAMETROS!$J$2:$J700,MATCH(H376,PARAMETROS!$E$2:$E700,0)),""))</f>
        <v/>
      </c>
      <c r="X376" s="23" t="str">
        <f t="shared" si="1"/>
        <v/>
      </c>
    </row>
    <row r="377" spans="1:24">
      <c r="A377" s="12"/>
      <c r="B377" s="12"/>
      <c r="C377" s="12"/>
      <c r="D377" s="12"/>
      <c r="E377" s="12"/>
      <c r="F377" s="12"/>
      <c r="G377" s="12"/>
      <c r="H377" s="12"/>
      <c r="I377" s="12"/>
      <c r="J377" s="14"/>
      <c r="K377" s="12"/>
      <c r="L377" s="14"/>
      <c r="M377" s="12"/>
      <c r="N377" s="12"/>
      <c r="O377" s="14"/>
      <c r="P377" s="12"/>
      <c r="Q377" s="15"/>
      <c r="R377" s="15"/>
      <c r="S377" s="21"/>
      <c r="T377" s="12"/>
      <c r="U377" s="12"/>
      <c r="V377" s="22"/>
      <c r="W377" s="22" t="str">
        <f t="array" ref="W377">IF(A377="","",IFERROR(INDEX(PARAMETROS!$J$2:$J700,MATCH(H377,PARAMETROS!$E$2:$E700,0)),""))</f>
        <v/>
      </c>
      <c r="X377" s="23" t="str">
        <f t="shared" si="1"/>
        <v/>
      </c>
    </row>
    <row r="378" spans="1:24">
      <c r="A378" s="12"/>
      <c r="B378" s="12"/>
      <c r="C378" s="12"/>
      <c r="D378" s="12"/>
      <c r="E378" s="12"/>
      <c r="F378" s="12"/>
      <c r="G378" s="12"/>
      <c r="H378" s="12"/>
      <c r="I378" s="12"/>
      <c r="J378" s="14"/>
      <c r="K378" s="12"/>
      <c r="L378" s="14"/>
      <c r="M378" s="12"/>
      <c r="N378" s="12"/>
      <c r="O378" s="14"/>
      <c r="P378" s="12"/>
      <c r="Q378" s="15"/>
      <c r="R378" s="15"/>
      <c r="S378" s="21"/>
      <c r="T378" s="12"/>
      <c r="U378" s="12"/>
      <c r="V378" s="22"/>
      <c r="W378" s="22" t="str">
        <f t="array" ref="W378">IF(A378="","",IFERROR(INDEX(PARAMETROS!$J$2:$J700,MATCH(H378,PARAMETROS!$E$2:$E700,0)),""))</f>
        <v/>
      </c>
      <c r="X378" s="23" t="str">
        <f t="shared" si="1"/>
        <v/>
      </c>
    </row>
    <row r="379" spans="1:24">
      <c r="A379" s="12"/>
      <c r="B379" s="12"/>
      <c r="C379" s="12"/>
      <c r="D379" s="12"/>
      <c r="E379" s="12"/>
      <c r="F379" s="12"/>
      <c r="G379" s="12"/>
      <c r="H379" s="12"/>
      <c r="I379" s="12"/>
      <c r="J379" s="14"/>
      <c r="K379" s="12"/>
      <c r="L379" s="14"/>
      <c r="M379" s="12"/>
      <c r="N379" s="12"/>
      <c r="O379" s="14"/>
      <c r="P379" s="12"/>
      <c r="Q379" s="15"/>
      <c r="R379" s="15"/>
      <c r="S379" s="21"/>
      <c r="T379" s="12"/>
      <c r="U379" s="12"/>
      <c r="V379" s="22"/>
      <c r="W379" s="22" t="str">
        <f t="array" ref="W379">IF(A379="","",IFERROR(INDEX(PARAMETROS!$J$2:$J700,MATCH(H379,PARAMETROS!$E$2:$E700,0)),""))</f>
        <v/>
      </c>
      <c r="X379" s="23" t="str">
        <f t="shared" si="1"/>
        <v/>
      </c>
    </row>
    <row r="380" spans="1:24">
      <c r="A380" s="12"/>
      <c r="B380" s="12"/>
      <c r="C380" s="12"/>
      <c r="D380" s="12"/>
      <c r="E380" s="12"/>
      <c r="F380" s="12"/>
      <c r="G380" s="12"/>
      <c r="H380" s="12"/>
      <c r="I380" s="12"/>
      <c r="J380" s="14"/>
      <c r="K380" s="12"/>
      <c r="L380" s="14"/>
      <c r="M380" s="12"/>
      <c r="N380" s="12"/>
      <c r="O380" s="14"/>
      <c r="P380" s="12"/>
      <c r="Q380" s="15"/>
      <c r="R380" s="15"/>
      <c r="S380" s="21"/>
      <c r="T380" s="12"/>
      <c r="U380" s="12"/>
      <c r="V380" s="22"/>
      <c r="W380" s="22" t="str">
        <f t="array" ref="W380">IF(A380="","",IFERROR(INDEX(PARAMETROS!$J$2:$J700,MATCH(H380,PARAMETROS!$E$2:$E700,0)),""))</f>
        <v/>
      </c>
      <c r="X380" s="23" t="str">
        <f t="shared" si="1"/>
        <v/>
      </c>
    </row>
    <row r="381" spans="1:24">
      <c r="A381" s="12"/>
      <c r="B381" s="12"/>
      <c r="C381" s="12"/>
      <c r="D381" s="12"/>
      <c r="E381" s="12"/>
      <c r="F381" s="12"/>
      <c r="G381" s="12"/>
      <c r="H381" s="12"/>
      <c r="I381" s="12"/>
      <c r="J381" s="14"/>
      <c r="K381" s="12"/>
      <c r="L381" s="14"/>
      <c r="M381" s="12"/>
      <c r="N381" s="12"/>
      <c r="O381" s="14"/>
      <c r="P381" s="12"/>
      <c r="Q381" s="15"/>
      <c r="R381" s="15"/>
      <c r="S381" s="21"/>
      <c r="T381" s="12"/>
      <c r="U381" s="12"/>
      <c r="V381" s="22"/>
      <c r="W381" s="22" t="str">
        <f t="array" ref="W381">IF(A381="","",IFERROR(INDEX(PARAMETROS!$J$2:$J700,MATCH(H381,PARAMETROS!$E$2:$E700,0)),""))</f>
        <v/>
      </c>
      <c r="X381" s="23" t="str">
        <f t="shared" si="1"/>
        <v/>
      </c>
    </row>
    <row r="382" spans="1:24">
      <c r="A382" s="12"/>
      <c r="B382" s="12"/>
      <c r="C382" s="12"/>
      <c r="D382" s="12"/>
      <c r="E382" s="12"/>
      <c r="F382" s="12"/>
      <c r="G382" s="12"/>
      <c r="H382" s="12"/>
      <c r="I382" s="12"/>
      <c r="J382" s="14"/>
      <c r="K382" s="12"/>
      <c r="L382" s="14"/>
      <c r="M382" s="12"/>
      <c r="N382" s="12"/>
      <c r="O382" s="14"/>
      <c r="P382" s="12"/>
      <c r="Q382" s="15"/>
      <c r="R382" s="15"/>
      <c r="S382" s="21"/>
      <c r="T382" s="12"/>
      <c r="U382" s="12"/>
      <c r="V382" s="22"/>
      <c r="W382" s="22" t="str">
        <f t="array" ref="W382">IF(A382="","",IFERROR(INDEX(PARAMETROS!$J$2:$J700,MATCH(H382,PARAMETROS!$E$2:$E700,0)),""))</f>
        <v/>
      </c>
      <c r="X382" s="23" t="str">
        <f t="shared" si="1"/>
        <v/>
      </c>
    </row>
    <row r="383" spans="1:24">
      <c r="A383" s="12"/>
      <c r="B383" s="12"/>
      <c r="C383" s="12"/>
      <c r="D383" s="12"/>
      <c r="E383" s="12"/>
      <c r="F383" s="12"/>
      <c r="G383" s="12"/>
      <c r="H383" s="12"/>
      <c r="I383" s="12"/>
      <c r="J383" s="14"/>
      <c r="K383" s="12"/>
      <c r="L383" s="14"/>
      <c r="M383" s="12"/>
      <c r="N383" s="12"/>
      <c r="O383" s="14"/>
      <c r="P383" s="12"/>
      <c r="Q383" s="15"/>
      <c r="R383" s="15"/>
      <c r="S383" s="21"/>
      <c r="T383" s="12"/>
      <c r="U383" s="12"/>
      <c r="V383" s="22"/>
      <c r="W383" s="22" t="str">
        <f t="array" ref="W383">IF(A383="","",IFERROR(INDEX(PARAMETROS!$J$2:$J700,MATCH(H383,PARAMETROS!$E$2:$E700,0)),""))</f>
        <v/>
      </c>
      <c r="X383" s="23" t="str">
        <f t="shared" si="1"/>
        <v/>
      </c>
    </row>
    <row r="384" spans="1:24">
      <c r="A384" s="12"/>
      <c r="B384" s="12"/>
      <c r="C384" s="12"/>
      <c r="D384" s="12"/>
      <c r="E384" s="12"/>
      <c r="F384" s="12"/>
      <c r="G384" s="12"/>
      <c r="H384" s="12"/>
      <c r="I384" s="12"/>
      <c r="J384" s="14"/>
      <c r="K384" s="12"/>
      <c r="L384" s="14"/>
      <c r="M384" s="12"/>
      <c r="N384" s="12"/>
      <c r="O384" s="14"/>
      <c r="P384" s="12"/>
      <c r="Q384" s="15"/>
      <c r="R384" s="15"/>
      <c r="S384" s="21"/>
      <c r="T384" s="12"/>
      <c r="U384" s="12"/>
      <c r="V384" s="22"/>
      <c r="W384" s="22" t="str">
        <f t="array" ref="W384">IF(A384="","",IFERROR(INDEX(PARAMETROS!$J$2:$J700,MATCH(H384,PARAMETROS!$E$2:$E700,0)),""))</f>
        <v/>
      </c>
      <c r="X384" s="23" t="str">
        <f t="shared" si="1"/>
        <v/>
      </c>
    </row>
    <row r="385" spans="1:24">
      <c r="A385" s="12"/>
      <c r="B385" s="12"/>
      <c r="C385" s="12"/>
      <c r="D385" s="12"/>
      <c r="E385" s="12"/>
      <c r="F385" s="12"/>
      <c r="G385" s="12"/>
      <c r="H385" s="12"/>
      <c r="I385" s="12"/>
      <c r="J385" s="14"/>
      <c r="K385" s="12"/>
      <c r="L385" s="14"/>
      <c r="M385" s="12"/>
      <c r="N385" s="12"/>
      <c r="O385" s="14"/>
      <c r="P385" s="12"/>
      <c r="Q385" s="15"/>
      <c r="R385" s="15"/>
      <c r="S385" s="21"/>
      <c r="T385" s="12"/>
      <c r="U385" s="12"/>
      <c r="V385" s="22"/>
      <c r="W385" s="22" t="str">
        <f t="array" ref="W385">IF(A385="","",IFERROR(INDEX(PARAMETROS!$J$2:$J700,MATCH(H385,PARAMETROS!$E$2:$E700,0)),""))</f>
        <v/>
      </c>
      <c r="X385" s="23" t="str">
        <f t="shared" si="1"/>
        <v/>
      </c>
    </row>
    <row r="386" spans="1:24">
      <c r="A386" s="12"/>
      <c r="B386" s="12"/>
      <c r="C386" s="12"/>
      <c r="D386" s="12"/>
      <c r="E386" s="12"/>
      <c r="F386" s="12"/>
      <c r="G386" s="12"/>
      <c r="H386" s="12"/>
      <c r="I386" s="12"/>
      <c r="J386" s="14"/>
      <c r="K386" s="12"/>
      <c r="L386" s="14"/>
      <c r="M386" s="12"/>
      <c r="N386" s="12"/>
      <c r="O386" s="14"/>
      <c r="P386" s="12"/>
      <c r="Q386" s="15"/>
      <c r="R386" s="15"/>
      <c r="S386" s="21"/>
      <c r="T386" s="12"/>
      <c r="U386" s="12"/>
      <c r="V386" s="22"/>
      <c r="W386" s="22" t="str">
        <f t="array" ref="W386">IF(A386="","",IFERROR(INDEX(PARAMETROS!$J$2:$J700,MATCH(H386,PARAMETROS!$E$2:$E700,0)),""))</f>
        <v/>
      </c>
      <c r="X386" s="23" t="str">
        <f t="shared" si="1"/>
        <v/>
      </c>
    </row>
    <row r="387" spans="1:24">
      <c r="A387" s="12"/>
      <c r="B387" s="12"/>
      <c r="C387" s="12"/>
      <c r="D387" s="12"/>
      <c r="E387" s="12"/>
      <c r="F387" s="12"/>
      <c r="G387" s="12"/>
      <c r="H387" s="12"/>
      <c r="I387" s="12"/>
      <c r="J387" s="14"/>
      <c r="K387" s="12"/>
      <c r="L387" s="14"/>
      <c r="M387" s="12"/>
      <c r="N387" s="12"/>
      <c r="O387" s="14"/>
      <c r="P387" s="12"/>
      <c r="Q387" s="15"/>
      <c r="R387" s="15"/>
      <c r="S387" s="21"/>
      <c r="T387" s="12"/>
      <c r="U387" s="12"/>
      <c r="V387" s="22"/>
      <c r="W387" s="22" t="str">
        <f t="array" ref="W387">IF(A387="","",IFERROR(INDEX(PARAMETROS!$J$2:$J700,MATCH(H387,PARAMETROS!$E$2:$E700,0)),""))</f>
        <v/>
      </c>
      <c r="X387" s="23" t="str">
        <f t="shared" si="1"/>
        <v/>
      </c>
    </row>
    <row r="388" spans="1:24">
      <c r="A388" s="12"/>
      <c r="B388" s="12"/>
      <c r="C388" s="12"/>
      <c r="D388" s="12"/>
      <c r="E388" s="12"/>
      <c r="F388" s="12"/>
      <c r="G388" s="12"/>
      <c r="H388" s="12"/>
      <c r="I388" s="12"/>
      <c r="J388" s="14"/>
      <c r="K388" s="12"/>
      <c r="L388" s="14"/>
      <c r="M388" s="12"/>
      <c r="N388" s="12"/>
      <c r="O388" s="14"/>
      <c r="P388" s="12"/>
      <c r="Q388" s="15"/>
      <c r="R388" s="15"/>
      <c r="S388" s="21"/>
      <c r="T388" s="12"/>
      <c r="U388" s="12"/>
      <c r="V388" s="22"/>
      <c r="W388" s="22" t="str">
        <f t="array" ref="W388">IF(A388="","",IFERROR(INDEX(PARAMETROS!$J$2:$J700,MATCH(H388,PARAMETROS!$E$2:$E700,0)),""))</f>
        <v/>
      </c>
      <c r="X388" s="23" t="str">
        <f t="shared" si="1"/>
        <v/>
      </c>
    </row>
    <row r="389" spans="1:24">
      <c r="A389" s="12"/>
      <c r="B389" s="12"/>
      <c r="C389" s="12"/>
      <c r="D389" s="12"/>
      <c r="E389" s="12"/>
      <c r="F389" s="12"/>
      <c r="G389" s="12"/>
      <c r="H389" s="12"/>
      <c r="I389" s="12"/>
      <c r="J389" s="14"/>
      <c r="K389" s="12"/>
      <c r="L389" s="14"/>
      <c r="M389" s="12"/>
      <c r="N389" s="12"/>
      <c r="O389" s="14"/>
      <c r="P389" s="12"/>
      <c r="Q389" s="15"/>
      <c r="R389" s="15"/>
      <c r="S389" s="21"/>
      <c r="T389" s="12"/>
      <c r="U389" s="12"/>
      <c r="V389" s="22"/>
      <c r="W389" s="22" t="str">
        <f t="array" ref="W389">IF(A389="","",IFERROR(INDEX(PARAMETROS!$J$2:$J700,MATCH(H389,PARAMETROS!$E$2:$E700,0)),""))</f>
        <v/>
      </c>
      <c r="X389" s="23" t="str">
        <f t="shared" si="1"/>
        <v/>
      </c>
    </row>
    <row r="390" spans="1:24">
      <c r="A390" s="12"/>
      <c r="B390" s="12"/>
      <c r="C390" s="12"/>
      <c r="D390" s="12"/>
      <c r="E390" s="12"/>
      <c r="F390" s="12"/>
      <c r="G390" s="12"/>
      <c r="H390" s="12"/>
      <c r="I390" s="12"/>
      <c r="J390" s="14"/>
      <c r="K390" s="12"/>
      <c r="L390" s="14"/>
      <c r="M390" s="12"/>
      <c r="N390" s="12"/>
      <c r="O390" s="14"/>
      <c r="P390" s="12"/>
      <c r="Q390" s="15"/>
      <c r="R390" s="15"/>
      <c r="S390" s="21"/>
      <c r="T390" s="12"/>
      <c r="U390" s="12"/>
      <c r="V390" s="22"/>
      <c r="W390" s="22" t="str">
        <f t="array" ref="W390">IF(A390="","",IFERROR(INDEX(PARAMETROS!$J$2:$J700,MATCH(H390,PARAMETROS!$E$2:$E700,0)),""))</f>
        <v/>
      </c>
      <c r="X390" s="23" t="str">
        <f t="shared" si="1"/>
        <v/>
      </c>
    </row>
    <row r="391" spans="1:24">
      <c r="A391" s="12"/>
      <c r="B391" s="12"/>
      <c r="C391" s="12"/>
      <c r="D391" s="12"/>
      <c r="E391" s="12"/>
      <c r="F391" s="12"/>
      <c r="G391" s="12"/>
      <c r="H391" s="12"/>
      <c r="I391" s="12"/>
      <c r="J391" s="14"/>
      <c r="K391" s="12"/>
      <c r="L391" s="14"/>
      <c r="M391" s="12"/>
      <c r="N391" s="12"/>
      <c r="O391" s="14"/>
      <c r="P391" s="12"/>
      <c r="Q391" s="15"/>
      <c r="R391" s="15"/>
      <c r="S391" s="21"/>
      <c r="T391" s="12"/>
      <c r="U391" s="12"/>
      <c r="V391" s="22"/>
      <c r="W391" s="22" t="str">
        <f t="array" ref="W391">IF(A391="","",IFERROR(INDEX(PARAMETROS!$J$2:$J700,MATCH(H391,PARAMETROS!$E$2:$E700,0)),""))</f>
        <v/>
      </c>
      <c r="X391" s="23" t="str">
        <f t="shared" si="1"/>
        <v/>
      </c>
    </row>
    <row r="392" spans="1:24">
      <c r="A392" s="12"/>
      <c r="B392" s="12"/>
      <c r="C392" s="12"/>
      <c r="D392" s="12"/>
      <c r="E392" s="12"/>
      <c r="F392" s="12"/>
      <c r="G392" s="12"/>
      <c r="H392" s="12"/>
      <c r="I392" s="12"/>
      <c r="J392" s="14"/>
      <c r="K392" s="12"/>
      <c r="L392" s="14"/>
      <c r="M392" s="12"/>
      <c r="N392" s="12"/>
      <c r="O392" s="14"/>
      <c r="P392" s="12"/>
      <c r="Q392" s="15"/>
      <c r="R392" s="15"/>
      <c r="S392" s="21"/>
      <c r="T392" s="12"/>
      <c r="U392" s="12"/>
      <c r="V392" s="22"/>
      <c r="W392" s="22" t="str">
        <f t="array" ref="W392">IF(A392="","",IFERROR(INDEX(PARAMETROS!$J$2:$J700,MATCH(H392,PARAMETROS!$E$2:$E700,0)),""))</f>
        <v/>
      </c>
      <c r="X392" s="23" t="str">
        <f t="shared" si="1"/>
        <v/>
      </c>
    </row>
    <row r="393" spans="1:24">
      <c r="A393" s="12"/>
      <c r="B393" s="12"/>
      <c r="C393" s="12"/>
      <c r="D393" s="12"/>
      <c r="E393" s="12"/>
      <c r="F393" s="12"/>
      <c r="G393" s="12"/>
      <c r="H393" s="12"/>
      <c r="I393" s="12"/>
      <c r="J393" s="14"/>
      <c r="K393" s="12"/>
      <c r="L393" s="14"/>
      <c r="M393" s="12"/>
      <c r="N393" s="12"/>
      <c r="O393" s="14"/>
      <c r="P393" s="12"/>
      <c r="Q393" s="15"/>
      <c r="R393" s="15"/>
      <c r="S393" s="21"/>
      <c r="T393" s="12"/>
      <c r="U393" s="12"/>
      <c r="V393" s="22"/>
      <c r="W393" s="22" t="str">
        <f t="array" ref="W393">IF(A393="","",IFERROR(INDEX(PARAMETROS!$J$2:$J700,MATCH(H393,PARAMETROS!$E$2:$E700,0)),""))</f>
        <v/>
      </c>
      <c r="X393" s="23" t="str">
        <f t="shared" si="1"/>
        <v/>
      </c>
    </row>
    <row r="394" spans="1:24">
      <c r="A394" s="12"/>
      <c r="B394" s="12"/>
      <c r="C394" s="12"/>
      <c r="D394" s="12"/>
      <c r="E394" s="12"/>
      <c r="F394" s="12"/>
      <c r="G394" s="12"/>
      <c r="H394" s="12"/>
      <c r="I394" s="12"/>
      <c r="J394" s="14"/>
      <c r="K394" s="12"/>
      <c r="L394" s="14"/>
      <c r="M394" s="12"/>
      <c r="N394" s="12"/>
      <c r="O394" s="14"/>
      <c r="P394" s="12"/>
      <c r="Q394" s="15"/>
      <c r="R394" s="15"/>
      <c r="S394" s="21"/>
      <c r="T394" s="12"/>
      <c r="U394" s="12"/>
      <c r="V394" s="22"/>
      <c r="W394" s="22" t="str">
        <f t="array" ref="W394">IF(A394="","",IFERROR(INDEX(PARAMETROS!$J$2:$J700,MATCH(H394,PARAMETROS!$E$2:$E700,0)),""))</f>
        <v/>
      </c>
      <c r="X394" s="23" t="str">
        <f t="shared" si="1"/>
        <v/>
      </c>
    </row>
    <row r="395" spans="1:24">
      <c r="A395" s="12"/>
      <c r="B395" s="12"/>
      <c r="C395" s="12"/>
      <c r="D395" s="12"/>
      <c r="E395" s="12"/>
      <c r="F395" s="12"/>
      <c r="G395" s="12"/>
      <c r="H395" s="12"/>
      <c r="I395" s="12"/>
      <c r="J395" s="14"/>
      <c r="K395" s="12"/>
      <c r="L395" s="14"/>
      <c r="M395" s="12"/>
      <c r="N395" s="12"/>
      <c r="O395" s="14"/>
      <c r="P395" s="12"/>
      <c r="Q395" s="15"/>
      <c r="R395" s="15"/>
      <c r="S395" s="21"/>
      <c r="T395" s="12"/>
      <c r="U395" s="12"/>
      <c r="V395" s="22"/>
      <c r="W395" s="22" t="str">
        <f t="array" ref="W395">IF(A395="","",IFERROR(INDEX(PARAMETROS!$J$2:$J700,MATCH(H395,PARAMETROS!$E$2:$E700,0)),""))</f>
        <v/>
      </c>
      <c r="X395" s="23" t="str">
        <f t="shared" si="1"/>
        <v/>
      </c>
    </row>
    <row r="396" spans="1:24">
      <c r="A396" s="12"/>
      <c r="B396" s="12"/>
      <c r="C396" s="12"/>
      <c r="D396" s="12"/>
      <c r="E396" s="12"/>
      <c r="F396" s="12"/>
      <c r="G396" s="12"/>
      <c r="H396" s="12"/>
      <c r="I396" s="12"/>
      <c r="J396" s="14"/>
      <c r="K396" s="12"/>
      <c r="L396" s="14"/>
      <c r="M396" s="12"/>
      <c r="N396" s="12"/>
      <c r="O396" s="14"/>
      <c r="P396" s="12"/>
      <c r="Q396" s="15"/>
      <c r="R396" s="15"/>
      <c r="S396" s="21"/>
      <c r="T396" s="12"/>
      <c r="U396" s="12"/>
      <c r="V396" s="22"/>
      <c r="W396" s="22" t="str">
        <f t="array" ref="W396">IF(A396="","",IFERROR(INDEX(PARAMETROS!$J$2:$J700,MATCH(H396,PARAMETROS!$E$2:$E700,0)),""))</f>
        <v/>
      </c>
      <c r="X396" s="23" t="str">
        <f t="shared" si="1"/>
        <v/>
      </c>
    </row>
    <row r="397" spans="1:24">
      <c r="A397" s="12"/>
      <c r="B397" s="12"/>
      <c r="C397" s="12"/>
      <c r="D397" s="12"/>
      <c r="E397" s="12"/>
      <c r="F397" s="12"/>
      <c r="G397" s="12"/>
      <c r="H397" s="12"/>
      <c r="I397" s="12"/>
      <c r="J397" s="14"/>
      <c r="K397" s="12"/>
      <c r="L397" s="14"/>
      <c r="M397" s="12"/>
      <c r="N397" s="12"/>
      <c r="O397" s="14"/>
      <c r="P397" s="12"/>
      <c r="Q397" s="15"/>
      <c r="R397" s="15"/>
      <c r="S397" s="21"/>
      <c r="T397" s="12"/>
      <c r="U397" s="12"/>
      <c r="V397" s="22"/>
      <c r="W397" s="22" t="str">
        <f t="array" ref="W397">IF(A397="","",IFERROR(INDEX(PARAMETROS!$J$2:$J700,MATCH(H397,PARAMETROS!$E$2:$E700,0)),""))</f>
        <v/>
      </c>
      <c r="X397" s="23" t="str">
        <f t="shared" si="1"/>
        <v/>
      </c>
    </row>
    <row r="398" spans="1:24">
      <c r="A398" s="12"/>
      <c r="B398" s="12"/>
      <c r="C398" s="12"/>
      <c r="D398" s="12"/>
      <c r="E398" s="12"/>
      <c r="F398" s="12"/>
      <c r="G398" s="12"/>
      <c r="H398" s="12"/>
      <c r="I398" s="12"/>
      <c r="J398" s="14"/>
      <c r="K398" s="12"/>
      <c r="L398" s="14"/>
      <c r="M398" s="12"/>
      <c r="N398" s="12"/>
      <c r="O398" s="14"/>
      <c r="P398" s="12"/>
      <c r="Q398" s="15"/>
      <c r="R398" s="15"/>
      <c r="S398" s="21"/>
      <c r="T398" s="12"/>
      <c r="U398" s="12"/>
      <c r="V398" s="22"/>
      <c r="W398" s="22" t="str">
        <f t="array" ref="W398">IF(A398="","",IFERROR(INDEX(PARAMETROS!$J$2:$J700,MATCH(H398,PARAMETROS!$E$2:$E700,0)),""))</f>
        <v/>
      </c>
      <c r="X398" s="23" t="str">
        <f t="shared" si="1"/>
        <v/>
      </c>
    </row>
    <row r="399" spans="1:24">
      <c r="A399" s="12"/>
      <c r="B399" s="12"/>
      <c r="C399" s="12"/>
      <c r="D399" s="12"/>
      <c r="E399" s="12"/>
      <c r="F399" s="12"/>
      <c r="G399" s="12"/>
      <c r="H399" s="12"/>
      <c r="I399" s="12"/>
      <c r="J399" s="14"/>
      <c r="K399" s="12"/>
      <c r="L399" s="14"/>
      <c r="M399" s="12"/>
      <c r="N399" s="12"/>
      <c r="O399" s="14"/>
      <c r="P399" s="12"/>
      <c r="Q399" s="15"/>
      <c r="R399" s="15"/>
      <c r="S399" s="21"/>
      <c r="T399" s="12"/>
      <c r="U399" s="12"/>
      <c r="V399" s="22"/>
      <c r="W399" s="22" t="str">
        <f t="array" ref="W399">IF(A399="","",IFERROR(INDEX(PARAMETROS!$J$2:$J700,MATCH(H399,PARAMETROS!$E$2:$E700,0)),""))</f>
        <v/>
      </c>
      <c r="X399" s="23" t="str">
        <f t="shared" si="1"/>
        <v/>
      </c>
    </row>
    <row r="400" spans="1:24">
      <c r="A400" s="12"/>
      <c r="B400" s="12"/>
      <c r="C400" s="12"/>
      <c r="D400" s="12"/>
      <c r="E400" s="12"/>
      <c r="F400" s="12"/>
      <c r="G400" s="12"/>
      <c r="H400" s="12"/>
      <c r="I400" s="12"/>
      <c r="J400" s="14"/>
      <c r="K400" s="12"/>
      <c r="L400" s="14"/>
      <c r="M400" s="12"/>
      <c r="N400" s="12"/>
      <c r="O400" s="14"/>
      <c r="P400" s="12"/>
      <c r="Q400" s="15"/>
      <c r="R400" s="15"/>
      <c r="S400" s="21"/>
      <c r="T400" s="12"/>
      <c r="U400" s="12"/>
      <c r="V400" s="22"/>
      <c r="W400" s="22" t="str">
        <f t="array" ref="W400">IF(A400="","",IFERROR(INDEX(PARAMETROS!$J$2:$J700,MATCH(H400,PARAMETROS!$E$2:$E700,0)),""))</f>
        <v/>
      </c>
      <c r="X400" s="23" t="str">
        <f t="shared" si="1"/>
        <v/>
      </c>
    </row>
    <row r="401" spans="1:24">
      <c r="A401" s="12"/>
      <c r="B401" s="12"/>
      <c r="C401" s="12"/>
      <c r="D401" s="12"/>
      <c r="E401" s="12"/>
      <c r="F401" s="12"/>
      <c r="G401" s="12"/>
      <c r="H401" s="12"/>
      <c r="I401" s="12"/>
      <c r="J401" s="14"/>
      <c r="K401" s="12"/>
      <c r="L401" s="14"/>
      <c r="M401" s="12"/>
      <c r="N401" s="12"/>
      <c r="O401" s="14"/>
      <c r="P401" s="12"/>
      <c r="Q401" s="15"/>
      <c r="R401" s="15"/>
      <c r="S401" s="21"/>
      <c r="T401" s="12"/>
      <c r="U401" s="12"/>
      <c r="V401" s="22"/>
      <c r="W401" s="22" t="str">
        <f t="array" ref="W401">IF(A401="","",IFERROR(INDEX(PARAMETROS!$J$2:$J700,MATCH(H401,PARAMETROS!$E$2:$E700,0)),""))</f>
        <v/>
      </c>
      <c r="X401" s="23" t="str">
        <f t="shared" si="1"/>
        <v/>
      </c>
    </row>
    <row r="402" spans="1:24">
      <c r="A402" s="12"/>
      <c r="B402" s="12"/>
      <c r="C402" s="12"/>
      <c r="D402" s="12"/>
      <c r="E402" s="12"/>
      <c r="F402" s="12"/>
      <c r="G402" s="12"/>
      <c r="H402" s="12"/>
      <c r="I402" s="12"/>
      <c r="J402" s="14"/>
      <c r="K402" s="12"/>
      <c r="L402" s="14"/>
      <c r="M402" s="12"/>
      <c r="N402" s="12"/>
      <c r="O402" s="14"/>
      <c r="P402" s="12"/>
      <c r="Q402" s="15"/>
      <c r="R402" s="15"/>
      <c r="S402" s="21"/>
      <c r="T402" s="12"/>
      <c r="U402" s="12"/>
      <c r="V402" s="22"/>
      <c r="W402" s="22" t="str">
        <f t="array" ref="W402">IF(A402="","",IFERROR(INDEX(PARAMETROS!$J$2:$J700,MATCH(H402,PARAMETROS!$E$2:$E700,0)),""))</f>
        <v/>
      </c>
      <c r="X402" s="23" t="str">
        <f t="shared" si="1"/>
        <v/>
      </c>
    </row>
    <row r="403" spans="1:24">
      <c r="A403" s="12"/>
      <c r="B403" s="12"/>
      <c r="C403" s="12"/>
      <c r="D403" s="12"/>
      <c r="E403" s="12"/>
      <c r="F403" s="12"/>
      <c r="G403" s="12"/>
      <c r="H403" s="12"/>
      <c r="I403" s="12"/>
      <c r="J403" s="14"/>
      <c r="K403" s="12"/>
      <c r="L403" s="14"/>
      <c r="M403" s="12"/>
      <c r="N403" s="12"/>
      <c r="O403" s="14"/>
      <c r="P403" s="12"/>
      <c r="Q403" s="15"/>
      <c r="R403" s="15"/>
      <c r="S403" s="21"/>
      <c r="T403" s="12"/>
      <c r="U403" s="12"/>
      <c r="V403" s="22"/>
      <c r="W403" s="22" t="str">
        <f t="array" ref="W403">IF(A403="","",IFERROR(INDEX(PARAMETROS!$J$2:$J700,MATCH(H403,PARAMETROS!$E$2:$E700,0)),""))</f>
        <v/>
      </c>
      <c r="X403" s="23" t="str">
        <f t="shared" si="1"/>
        <v/>
      </c>
    </row>
    <row r="404" spans="1:24">
      <c r="A404" s="12"/>
      <c r="B404" s="12"/>
      <c r="C404" s="12"/>
      <c r="D404" s="12"/>
      <c r="E404" s="12"/>
      <c r="F404" s="12"/>
      <c r="G404" s="12"/>
      <c r="H404" s="12"/>
      <c r="I404" s="12"/>
      <c r="J404" s="14"/>
      <c r="K404" s="12"/>
      <c r="L404" s="14"/>
      <c r="M404" s="12"/>
      <c r="N404" s="12"/>
      <c r="O404" s="14"/>
      <c r="P404" s="12"/>
      <c r="Q404" s="15"/>
      <c r="R404" s="15"/>
      <c r="S404" s="21"/>
      <c r="T404" s="12"/>
      <c r="U404" s="12"/>
      <c r="V404" s="22"/>
      <c r="W404" s="22" t="str">
        <f t="array" ref="W404">IF(A404="","",IFERROR(INDEX(PARAMETROS!$J$2:$J700,MATCH(H404,PARAMETROS!$E$2:$E700,0)),""))</f>
        <v/>
      </c>
      <c r="X404" s="23" t="str">
        <f t="shared" si="1"/>
        <v/>
      </c>
    </row>
    <row r="405" spans="1:24">
      <c r="A405" s="12"/>
      <c r="B405" s="12"/>
      <c r="C405" s="12"/>
      <c r="D405" s="12"/>
      <c r="E405" s="12"/>
      <c r="F405" s="12"/>
      <c r="G405" s="12"/>
      <c r="H405" s="12"/>
      <c r="I405" s="12"/>
      <c r="J405" s="14"/>
      <c r="K405" s="12"/>
      <c r="L405" s="14"/>
      <c r="M405" s="12"/>
      <c r="N405" s="12"/>
      <c r="O405" s="14"/>
      <c r="P405" s="12"/>
      <c r="Q405" s="15"/>
      <c r="R405" s="15"/>
      <c r="S405" s="21"/>
      <c r="T405" s="12"/>
      <c r="U405" s="12"/>
      <c r="V405" s="22"/>
      <c r="W405" s="22" t="str">
        <f t="array" ref="W405">IF(A405="","",IFERROR(INDEX(PARAMETROS!$J$2:$J700,MATCH(H405,PARAMETROS!$E$2:$E700,0)),""))</f>
        <v/>
      </c>
      <c r="X405" s="23" t="str">
        <f t="shared" si="1"/>
        <v/>
      </c>
    </row>
    <row r="406" spans="1:24">
      <c r="A406" s="12"/>
      <c r="B406" s="12"/>
      <c r="C406" s="12"/>
      <c r="D406" s="12"/>
      <c r="E406" s="12"/>
      <c r="F406" s="12"/>
      <c r="G406" s="12"/>
      <c r="H406" s="12"/>
      <c r="I406" s="12"/>
      <c r="J406" s="14"/>
      <c r="K406" s="12"/>
      <c r="L406" s="14"/>
      <c r="M406" s="12"/>
      <c r="N406" s="12"/>
      <c r="O406" s="14"/>
      <c r="P406" s="12"/>
      <c r="Q406" s="15"/>
      <c r="R406" s="15"/>
      <c r="S406" s="21"/>
      <c r="T406" s="12"/>
      <c r="U406" s="12"/>
      <c r="V406" s="22"/>
      <c r="W406" s="22" t="str">
        <f t="array" ref="W406">IF(A406="","",IFERROR(INDEX(PARAMETROS!$J$2:$J700,MATCH(H406,PARAMETROS!$E$2:$E700,0)),""))</f>
        <v/>
      </c>
      <c r="X406" s="23" t="str">
        <f t="shared" si="1"/>
        <v/>
      </c>
    </row>
    <row r="407" spans="1:24">
      <c r="A407" s="12"/>
      <c r="B407" s="12"/>
      <c r="C407" s="12"/>
      <c r="D407" s="12"/>
      <c r="E407" s="12"/>
      <c r="F407" s="12"/>
      <c r="G407" s="12"/>
      <c r="H407" s="12"/>
      <c r="I407" s="12"/>
      <c r="J407" s="14"/>
      <c r="K407" s="12"/>
      <c r="L407" s="14"/>
      <c r="M407" s="12"/>
      <c r="N407" s="12"/>
      <c r="O407" s="14"/>
      <c r="P407" s="12"/>
      <c r="Q407" s="15"/>
      <c r="R407" s="15"/>
      <c r="S407" s="21"/>
      <c r="T407" s="12"/>
      <c r="U407" s="12"/>
      <c r="V407" s="22"/>
      <c r="W407" s="22" t="str">
        <f t="array" ref="W407">IF(A407="","",IFERROR(INDEX(PARAMETROS!$J$2:$J700,MATCH(H407,PARAMETROS!$E$2:$E700,0)),""))</f>
        <v/>
      </c>
      <c r="X407" s="23" t="str">
        <f t="shared" si="1"/>
        <v/>
      </c>
    </row>
    <row r="408" spans="1:24">
      <c r="A408" s="12"/>
      <c r="B408" s="12"/>
      <c r="C408" s="12"/>
      <c r="D408" s="12"/>
      <c r="E408" s="12"/>
      <c r="F408" s="12"/>
      <c r="G408" s="12"/>
      <c r="H408" s="12"/>
      <c r="I408" s="12"/>
      <c r="J408" s="14"/>
      <c r="K408" s="12"/>
      <c r="L408" s="14"/>
      <c r="M408" s="12"/>
      <c r="N408" s="12"/>
      <c r="O408" s="14"/>
      <c r="P408" s="12"/>
      <c r="Q408" s="15"/>
      <c r="R408" s="15"/>
      <c r="S408" s="21"/>
      <c r="T408" s="12"/>
      <c r="U408" s="12"/>
      <c r="V408" s="22"/>
      <c r="W408" s="22" t="str">
        <f t="array" ref="W408">IF(A408="","",IFERROR(INDEX(PARAMETROS!$J$2:$J700,MATCH(H408,PARAMETROS!$E$2:$E700,0)),""))</f>
        <v/>
      </c>
      <c r="X408" s="23" t="str">
        <f t="shared" si="1"/>
        <v/>
      </c>
    </row>
    <row r="409" spans="1:24">
      <c r="A409" s="12"/>
      <c r="B409" s="12"/>
      <c r="C409" s="12"/>
      <c r="D409" s="12"/>
      <c r="E409" s="12"/>
      <c r="F409" s="12"/>
      <c r="G409" s="12"/>
      <c r="H409" s="12"/>
      <c r="I409" s="12"/>
      <c r="J409" s="14"/>
      <c r="K409" s="12"/>
      <c r="L409" s="14"/>
      <c r="M409" s="12"/>
      <c r="N409" s="12"/>
      <c r="O409" s="14"/>
      <c r="P409" s="12"/>
      <c r="Q409" s="15"/>
      <c r="R409" s="15"/>
      <c r="S409" s="21"/>
      <c r="T409" s="12"/>
      <c r="U409" s="12"/>
      <c r="V409" s="22"/>
      <c r="W409" s="22" t="str">
        <f t="array" ref="W409">IF(A409="","",IFERROR(INDEX(PARAMETROS!$J$2:$J700,MATCH(H409,PARAMETROS!$E$2:$E700,0)),""))</f>
        <v/>
      </c>
      <c r="X409" s="23" t="str">
        <f t="shared" si="1"/>
        <v/>
      </c>
    </row>
    <row r="410" spans="1:24">
      <c r="A410" s="12"/>
      <c r="B410" s="12"/>
      <c r="C410" s="12"/>
      <c r="D410" s="12"/>
      <c r="E410" s="12"/>
      <c r="F410" s="12"/>
      <c r="G410" s="12"/>
      <c r="H410" s="12"/>
      <c r="I410" s="12"/>
      <c r="J410" s="14"/>
      <c r="K410" s="12"/>
      <c r="L410" s="14"/>
      <c r="M410" s="12"/>
      <c r="N410" s="12"/>
      <c r="O410" s="14"/>
      <c r="P410" s="12"/>
      <c r="Q410" s="15"/>
      <c r="R410" s="15"/>
      <c r="S410" s="21"/>
      <c r="T410" s="12"/>
      <c r="U410" s="12"/>
      <c r="V410" s="22"/>
      <c r="W410" s="22" t="str">
        <f t="array" ref="W410">IF(A410="","",IFERROR(INDEX(PARAMETROS!$J$2:$J700,MATCH(H410,PARAMETROS!$E$2:$E700,0)),""))</f>
        <v/>
      </c>
      <c r="X410" s="23" t="str">
        <f t="shared" si="1"/>
        <v/>
      </c>
    </row>
    <row r="411" spans="1:24">
      <c r="A411" s="12"/>
      <c r="B411" s="12"/>
      <c r="C411" s="12"/>
      <c r="D411" s="12"/>
      <c r="E411" s="12"/>
      <c r="F411" s="12"/>
      <c r="G411" s="12"/>
      <c r="H411" s="12"/>
      <c r="I411" s="12"/>
      <c r="J411" s="14"/>
      <c r="K411" s="12"/>
      <c r="L411" s="14"/>
      <c r="M411" s="12"/>
      <c r="N411" s="12"/>
      <c r="O411" s="14"/>
      <c r="P411" s="12"/>
      <c r="Q411" s="15"/>
      <c r="R411" s="15"/>
      <c r="S411" s="21"/>
      <c r="T411" s="12"/>
      <c r="U411" s="12"/>
      <c r="V411" s="22"/>
      <c r="W411" s="22" t="str">
        <f t="array" ref="W411">IF(A411="","",IFERROR(INDEX(PARAMETROS!$J$2:$J700,MATCH(H411,PARAMETROS!$E$2:$E700,0)),""))</f>
        <v/>
      </c>
      <c r="X411" s="23" t="str">
        <f t="shared" si="1"/>
        <v/>
      </c>
    </row>
    <row r="412" spans="1:24">
      <c r="A412" s="12"/>
      <c r="B412" s="12"/>
      <c r="C412" s="12"/>
      <c r="D412" s="12"/>
      <c r="E412" s="12"/>
      <c r="F412" s="12"/>
      <c r="G412" s="12"/>
      <c r="H412" s="12"/>
      <c r="I412" s="12"/>
      <c r="J412" s="14"/>
      <c r="K412" s="12"/>
      <c r="L412" s="14"/>
      <c r="M412" s="12"/>
      <c r="N412" s="12"/>
      <c r="O412" s="14"/>
      <c r="P412" s="12"/>
      <c r="Q412" s="15"/>
      <c r="R412" s="15"/>
      <c r="S412" s="21"/>
      <c r="T412" s="12"/>
      <c r="U412" s="12"/>
      <c r="V412" s="22"/>
      <c r="W412" s="22" t="str">
        <f t="array" ref="W412">IF(A412="","",IFERROR(INDEX(PARAMETROS!$J$2:$J700,MATCH(H412,PARAMETROS!$E$2:$E700,0)),""))</f>
        <v/>
      </c>
      <c r="X412" s="23" t="str">
        <f t="shared" si="1"/>
        <v/>
      </c>
    </row>
    <row r="413" spans="1:24">
      <c r="A413" s="12"/>
      <c r="B413" s="12"/>
      <c r="C413" s="12"/>
      <c r="D413" s="12"/>
      <c r="E413" s="12"/>
      <c r="F413" s="12"/>
      <c r="G413" s="12"/>
      <c r="H413" s="12"/>
      <c r="I413" s="12"/>
      <c r="J413" s="14"/>
      <c r="K413" s="12"/>
      <c r="L413" s="14"/>
      <c r="M413" s="12"/>
      <c r="N413" s="12"/>
      <c r="O413" s="14"/>
      <c r="P413" s="12"/>
      <c r="Q413" s="15"/>
      <c r="R413" s="15"/>
      <c r="S413" s="21"/>
      <c r="T413" s="12"/>
      <c r="U413" s="12"/>
      <c r="V413" s="22"/>
      <c r="W413" s="22" t="str">
        <f t="array" ref="W413">IF(A413="","",IFERROR(INDEX(PARAMETROS!$J$2:$J700,MATCH(H413,PARAMETROS!$E$2:$E700,0)),""))</f>
        <v/>
      </c>
      <c r="X413" s="23" t="str">
        <f t="shared" si="1"/>
        <v/>
      </c>
    </row>
    <row r="414" spans="1:24">
      <c r="A414" s="12"/>
      <c r="B414" s="12"/>
      <c r="C414" s="12"/>
      <c r="D414" s="12"/>
      <c r="E414" s="12"/>
      <c r="F414" s="12"/>
      <c r="G414" s="12"/>
      <c r="H414" s="12"/>
      <c r="I414" s="12"/>
      <c r="J414" s="14"/>
      <c r="K414" s="12"/>
      <c r="L414" s="14"/>
      <c r="M414" s="12"/>
      <c r="N414" s="12"/>
      <c r="O414" s="14"/>
      <c r="P414" s="12"/>
      <c r="Q414" s="15"/>
      <c r="R414" s="15"/>
      <c r="S414" s="21"/>
      <c r="T414" s="12"/>
      <c r="U414" s="12"/>
      <c r="V414" s="22"/>
      <c r="W414" s="22" t="str">
        <f t="array" ref="W414">IF(A414="","",IFERROR(INDEX(PARAMETROS!$J$2:$J700,MATCH(H414,PARAMETROS!$E$2:$E700,0)),""))</f>
        <v/>
      </c>
      <c r="X414" s="23" t="str">
        <f t="shared" si="1"/>
        <v/>
      </c>
    </row>
    <row r="415" spans="1:24">
      <c r="A415" s="12"/>
      <c r="B415" s="12"/>
      <c r="C415" s="12"/>
      <c r="D415" s="12"/>
      <c r="E415" s="12"/>
      <c r="F415" s="12"/>
      <c r="G415" s="12"/>
      <c r="H415" s="12"/>
      <c r="I415" s="12"/>
      <c r="J415" s="14"/>
      <c r="K415" s="12"/>
      <c r="L415" s="14"/>
      <c r="M415" s="12"/>
      <c r="N415" s="12"/>
      <c r="O415" s="14"/>
      <c r="P415" s="12"/>
      <c r="Q415" s="15"/>
      <c r="R415" s="15"/>
      <c r="S415" s="21"/>
      <c r="T415" s="12"/>
      <c r="U415" s="12"/>
      <c r="V415" s="22"/>
      <c r="W415" s="22" t="str">
        <f t="array" ref="W415">IF(A415="","",IFERROR(INDEX(PARAMETROS!$J$2:$J700,MATCH(H415,PARAMETROS!$E$2:$E700,0)),""))</f>
        <v/>
      </c>
      <c r="X415" s="23" t="str">
        <f t="shared" si="1"/>
        <v/>
      </c>
    </row>
    <row r="416" spans="1:24">
      <c r="A416" s="12"/>
      <c r="B416" s="12"/>
      <c r="C416" s="12"/>
      <c r="D416" s="12"/>
      <c r="E416" s="12"/>
      <c r="F416" s="12"/>
      <c r="G416" s="12"/>
      <c r="H416" s="12"/>
      <c r="I416" s="12"/>
      <c r="J416" s="14"/>
      <c r="K416" s="12"/>
      <c r="L416" s="14"/>
      <c r="M416" s="12"/>
      <c r="N416" s="12"/>
      <c r="O416" s="14"/>
      <c r="P416" s="12"/>
      <c r="Q416" s="15"/>
      <c r="R416" s="15"/>
      <c r="S416" s="21"/>
      <c r="T416" s="12"/>
      <c r="U416" s="12"/>
      <c r="V416" s="22"/>
      <c r="W416" s="22" t="str">
        <f t="array" ref="W416">IF(A416="","",IFERROR(INDEX(PARAMETROS!$J$2:$J700,MATCH(H416,PARAMETROS!$E$2:$E700,0)),""))</f>
        <v/>
      </c>
      <c r="X416" s="23" t="str">
        <f t="shared" si="1"/>
        <v/>
      </c>
    </row>
    <row r="417" spans="1:24">
      <c r="A417" s="12"/>
      <c r="B417" s="12"/>
      <c r="C417" s="12"/>
      <c r="D417" s="12"/>
      <c r="E417" s="12"/>
      <c r="F417" s="12"/>
      <c r="G417" s="12"/>
      <c r="H417" s="12"/>
      <c r="I417" s="12"/>
      <c r="J417" s="14"/>
      <c r="K417" s="12"/>
      <c r="L417" s="14"/>
      <c r="M417" s="12"/>
      <c r="N417" s="12"/>
      <c r="O417" s="14"/>
      <c r="P417" s="12"/>
      <c r="Q417" s="15"/>
      <c r="R417" s="15"/>
      <c r="S417" s="21"/>
      <c r="T417" s="12"/>
      <c r="U417" s="12"/>
      <c r="V417" s="22"/>
      <c r="W417" s="22" t="str">
        <f t="array" ref="W417">IF(A417="","",IFERROR(INDEX(PARAMETROS!$J$2:$J700,MATCH(H417,PARAMETROS!$E$2:$E700,0)),""))</f>
        <v/>
      </c>
      <c r="X417" s="23" t="str">
        <f t="shared" si="1"/>
        <v/>
      </c>
    </row>
    <row r="418" spans="1:24">
      <c r="A418" s="12"/>
      <c r="B418" s="12"/>
      <c r="C418" s="12"/>
      <c r="D418" s="12"/>
      <c r="E418" s="12"/>
      <c r="F418" s="12"/>
      <c r="G418" s="12"/>
      <c r="H418" s="12"/>
      <c r="I418" s="12"/>
      <c r="J418" s="14"/>
      <c r="K418" s="12"/>
      <c r="L418" s="14"/>
      <c r="M418" s="12"/>
      <c r="N418" s="12"/>
      <c r="O418" s="14"/>
      <c r="P418" s="12"/>
      <c r="Q418" s="15"/>
      <c r="R418" s="15"/>
      <c r="S418" s="21"/>
      <c r="T418" s="12"/>
      <c r="U418" s="12"/>
      <c r="V418" s="22"/>
      <c r="W418" s="22" t="str">
        <f t="array" ref="W418">IF(A418="","",IFERROR(INDEX(PARAMETROS!$J$2:$J700,MATCH(H418,PARAMETROS!$E$2:$E700,0)),""))</f>
        <v/>
      </c>
      <c r="X418" s="23" t="str">
        <f t="shared" si="1"/>
        <v/>
      </c>
    </row>
    <row r="419" spans="1:24">
      <c r="A419" s="12"/>
      <c r="B419" s="12"/>
      <c r="C419" s="12"/>
      <c r="D419" s="12"/>
      <c r="E419" s="12"/>
      <c r="F419" s="12"/>
      <c r="G419" s="12"/>
      <c r="H419" s="12"/>
      <c r="I419" s="12"/>
      <c r="J419" s="14"/>
      <c r="K419" s="12"/>
      <c r="L419" s="14"/>
      <c r="M419" s="12"/>
      <c r="N419" s="12"/>
      <c r="O419" s="14"/>
      <c r="P419" s="12"/>
      <c r="Q419" s="15"/>
      <c r="R419" s="15"/>
      <c r="S419" s="21"/>
      <c r="T419" s="12"/>
      <c r="U419" s="12"/>
      <c r="V419" s="22"/>
      <c r="W419" s="22" t="str">
        <f t="array" ref="W419">IF(A419="","",IFERROR(INDEX(PARAMETROS!$J$2:$J700,MATCH(H419,PARAMETROS!$E$2:$E700,0)),""))</f>
        <v/>
      </c>
      <c r="X419" s="23" t="str">
        <f t="shared" si="1"/>
        <v/>
      </c>
    </row>
    <row r="420" spans="1:24">
      <c r="A420" s="12"/>
      <c r="B420" s="12"/>
      <c r="C420" s="12"/>
      <c r="D420" s="12"/>
      <c r="E420" s="12"/>
      <c r="F420" s="12"/>
      <c r="G420" s="12"/>
      <c r="H420" s="12"/>
      <c r="I420" s="12"/>
      <c r="J420" s="14"/>
      <c r="K420" s="12"/>
      <c r="L420" s="14"/>
      <c r="M420" s="12"/>
      <c r="N420" s="12"/>
      <c r="O420" s="14"/>
      <c r="P420" s="12"/>
      <c r="Q420" s="15"/>
      <c r="R420" s="15"/>
      <c r="S420" s="21"/>
      <c r="T420" s="12"/>
      <c r="U420" s="12"/>
      <c r="V420" s="22"/>
      <c r="W420" s="22" t="str">
        <f t="array" ref="W420">IF(A420="","",IFERROR(INDEX(PARAMETROS!$J$2:$J700,MATCH(H420,PARAMETROS!$E$2:$E700,0)),""))</f>
        <v/>
      </c>
      <c r="X420" s="23" t="str">
        <f t="shared" si="1"/>
        <v/>
      </c>
    </row>
    <row r="421" spans="1:24">
      <c r="A421" s="12"/>
      <c r="B421" s="12"/>
      <c r="C421" s="12"/>
      <c r="D421" s="12"/>
      <c r="E421" s="12"/>
      <c r="F421" s="12"/>
      <c r="G421" s="12"/>
      <c r="H421" s="12"/>
      <c r="I421" s="12"/>
      <c r="J421" s="14"/>
      <c r="K421" s="12"/>
      <c r="L421" s="14"/>
      <c r="M421" s="12"/>
      <c r="N421" s="12"/>
      <c r="O421" s="14"/>
      <c r="P421" s="12"/>
      <c r="Q421" s="15"/>
      <c r="R421" s="15"/>
      <c r="S421" s="21"/>
      <c r="T421" s="12"/>
      <c r="U421" s="12"/>
      <c r="V421" s="22"/>
      <c r="W421" s="22" t="str">
        <f t="array" ref="W421">IF(A421="","",IFERROR(INDEX(PARAMETROS!$J$2:$J700,MATCH(H421,PARAMETROS!$E$2:$E700,0)),""))</f>
        <v/>
      </c>
      <c r="X421" s="23" t="str">
        <f t="shared" si="1"/>
        <v/>
      </c>
    </row>
    <row r="422" spans="1:24">
      <c r="A422" s="12"/>
      <c r="B422" s="12"/>
      <c r="C422" s="12"/>
      <c r="D422" s="12"/>
      <c r="E422" s="12"/>
      <c r="F422" s="12"/>
      <c r="G422" s="12"/>
      <c r="H422" s="12"/>
      <c r="I422" s="12"/>
      <c r="J422" s="14"/>
      <c r="K422" s="12"/>
      <c r="L422" s="14"/>
      <c r="M422" s="12"/>
      <c r="N422" s="12"/>
      <c r="O422" s="14"/>
      <c r="P422" s="12"/>
      <c r="Q422" s="15"/>
      <c r="R422" s="15"/>
      <c r="S422" s="21"/>
      <c r="T422" s="12"/>
      <c r="U422" s="12"/>
      <c r="V422" s="22"/>
      <c r="W422" s="22" t="str">
        <f t="array" ref="W422">IF(A422="","",IFERROR(INDEX(PARAMETROS!$J$2:$J700,MATCH(H422,PARAMETROS!$E$2:$E700,0)),""))</f>
        <v/>
      </c>
      <c r="X422" s="23" t="str">
        <f t="shared" si="1"/>
        <v/>
      </c>
    </row>
    <row r="423" spans="1:24">
      <c r="A423" s="12"/>
      <c r="B423" s="12"/>
      <c r="C423" s="12"/>
      <c r="D423" s="12"/>
      <c r="E423" s="12"/>
      <c r="F423" s="12"/>
      <c r="G423" s="12"/>
      <c r="H423" s="12"/>
      <c r="I423" s="12"/>
      <c r="J423" s="14"/>
      <c r="K423" s="12"/>
      <c r="L423" s="14"/>
      <c r="M423" s="12"/>
      <c r="N423" s="12"/>
      <c r="O423" s="14"/>
      <c r="P423" s="12"/>
      <c r="Q423" s="15"/>
      <c r="R423" s="15"/>
      <c r="S423" s="21"/>
      <c r="T423" s="12"/>
      <c r="U423" s="12"/>
      <c r="V423" s="22"/>
      <c r="W423" s="22" t="str">
        <f t="array" ref="W423">IF(A423="","",IFERROR(INDEX(PARAMETROS!$J$2:$J700,MATCH(H423,PARAMETROS!$E$2:$E700,0)),""))</f>
        <v/>
      </c>
      <c r="X423" s="23" t="str">
        <f t="shared" si="1"/>
        <v/>
      </c>
    </row>
    <row r="424" spans="1:24">
      <c r="A424" s="12"/>
      <c r="B424" s="12"/>
      <c r="C424" s="12"/>
      <c r="D424" s="12"/>
      <c r="E424" s="12"/>
      <c r="F424" s="12"/>
      <c r="G424" s="12"/>
      <c r="H424" s="12"/>
      <c r="I424" s="12"/>
      <c r="J424" s="14"/>
      <c r="K424" s="12"/>
      <c r="L424" s="14"/>
      <c r="M424" s="12"/>
      <c r="N424" s="12"/>
      <c r="O424" s="14"/>
      <c r="P424" s="12"/>
      <c r="Q424" s="15"/>
      <c r="R424" s="15"/>
      <c r="S424" s="21"/>
      <c r="T424" s="12"/>
      <c r="U424" s="12"/>
      <c r="V424" s="22"/>
      <c r="W424" s="22" t="str">
        <f t="array" ref="W424">IF(A424="","",IFERROR(INDEX(PARAMETROS!$J$2:$J700,MATCH(H424,PARAMETROS!$E$2:$E700,0)),""))</f>
        <v/>
      </c>
      <c r="X424" s="23" t="str">
        <f t="shared" si="1"/>
        <v/>
      </c>
    </row>
    <row r="425" spans="1:24">
      <c r="A425" s="12"/>
      <c r="B425" s="12"/>
      <c r="C425" s="12"/>
      <c r="D425" s="12"/>
      <c r="E425" s="12"/>
      <c r="F425" s="12"/>
      <c r="G425" s="12"/>
      <c r="H425" s="12"/>
      <c r="I425" s="12"/>
      <c r="J425" s="14"/>
      <c r="K425" s="12"/>
      <c r="L425" s="14"/>
      <c r="M425" s="12"/>
      <c r="N425" s="12"/>
      <c r="O425" s="14"/>
      <c r="P425" s="12"/>
      <c r="Q425" s="15"/>
      <c r="R425" s="15"/>
      <c r="S425" s="21"/>
      <c r="T425" s="12"/>
      <c r="U425" s="12"/>
      <c r="V425" s="22"/>
      <c r="W425" s="22" t="str">
        <f t="array" ref="W425">IF(A425="","",IFERROR(INDEX(PARAMETROS!$J$2:$J700,MATCH(H425,PARAMETROS!$E$2:$E700,0)),""))</f>
        <v/>
      </c>
      <c r="X425" s="23" t="str">
        <f t="shared" si="1"/>
        <v/>
      </c>
    </row>
    <row r="426" spans="1:24">
      <c r="A426" s="12"/>
      <c r="B426" s="12"/>
      <c r="C426" s="12"/>
      <c r="D426" s="12"/>
      <c r="E426" s="12"/>
      <c r="F426" s="12"/>
      <c r="G426" s="12"/>
      <c r="H426" s="12"/>
      <c r="I426" s="12"/>
      <c r="J426" s="14"/>
      <c r="K426" s="12"/>
      <c r="L426" s="14"/>
      <c r="M426" s="12"/>
      <c r="N426" s="12"/>
      <c r="O426" s="14"/>
      <c r="P426" s="12"/>
      <c r="Q426" s="15"/>
      <c r="R426" s="15"/>
      <c r="S426" s="21"/>
      <c r="T426" s="12"/>
      <c r="U426" s="12"/>
      <c r="V426" s="22"/>
      <c r="W426" s="22" t="str">
        <f t="array" ref="W426">IF(A426="","",IFERROR(INDEX(PARAMETROS!$J$2:$J700,MATCH(H426,PARAMETROS!$E$2:$E700,0)),""))</f>
        <v/>
      </c>
      <c r="X426" s="23" t="str">
        <f t="shared" si="1"/>
        <v/>
      </c>
    </row>
    <row r="427" spans="1:24">
      <c r="A427" s="12"/>
      <c r="B427" s="12"/>
      <c r="C427" s="12"/>
      <c r="D427" s="12"/>
      <c r="E427" s="12"/>
      <c r="F427" s="12"/>
      <c r="G427" s="12"/>
      <c r="H427" s="12"/>
      <c r="I427" s="12"/>
      <c r="J427" s="14"/>
      <c r="K427" s="12"/>
      <c r="L427" s="14"/>
      <c r="M427" s="12"/>
      <c r="N427" s="12"/>
      <c r="O427" s="14"/>
      <c r="P427" s="12"/>
      <c r="Q427" s="15"/>
      <c r="R427" s="15"/>
      <c r="S427" s="21"/>
      <c r="T427" s="12"/>
      <c r="U427" s="12"/>
      <c r="V427" s="22"/>
      <c r="W427" s="22" t="str">
        <f t="array" ref="W427">IF(A427="","",IFERROR(INDEX(PARAMETROS!$J$2:$J700,MATCH(H427,PARAMETROS!$E$2:$E700,0)),""))</f>
        <v/>
      </c>
      <c r="X427" s="23" t="str">
        <f t="shared" si="1"/>
        <v/>
      </c>
    </row>
    <row r="428" spans="1:24">
      <c r="A428" s="12"/>
      <c r="B428" s="12"/>
      <c r="C428" s="12"/>
      <c r="D428" s="12"/>
      <c r="E428" s="12"/>
      <c r="F428" s="12"/>
      <c r="G428" s="12"/>
      <c r="H428" s="12"/>
      <c r="I428" s="12"/>
      <c r="J428" s="14"/>
      <c r="K428" s="12"/>
      <c r="L428" s="14"/>
      <c r="M428" s="12"/>
      <c r="N428" s="12"/>
      <c r="O428" s="14"/>
      <c r="P428" s="12"/>
      <c r="Q428" s="15"/>
      <c r="R428" s="15"/>
      <c r="S428" s="21"/>
      <c r="T428" s="12"/>
      <c r="U428" s="12"/>
      <c r="V428" s="22"/>
      <c r="W428" s="22" t="str">
        <f t="array" ref="W428">IF(A428="","",IFERROR(INDEX(PARAMETROS!$J$2:$J700,MATCH(H428,PARAMETROS!$E$2:$E700,0)),""))</f>
        <v/>
      </c>
      <c r="X428" s="23" t="str">
        <f t="shared" si="1"/>
        <v/>
      </c>
    </row>
    <row r="429" spans="1:24">
      <c r="A429" s="12"/>
      <c r="B429" s="12"/>
      <c r="C429" s="12"/>
      <c r="D429" s="12"/>
      <c r="E429" s="12"/>
      <c r="F429" s="12"/>
      <c r="G429" s="12"/>
      <c r="H429" s="12"/>
      <c r="I429" s="12"/>
      <c r="J429" s="14"/>
      <c r="K429" s="12"/>
      <c r="L429" s="14"/>
      <c r="M429" s="12"/>
      <c r="N429" s="12"/>
      <c r="O429" s="14"/>
      <c r="P429" s="12"/>
      <c r="Q429" s="15"/>
      <c r="R429" s="15"/>
      <c r="S429" s="21"/>
      <c r="T429" s="12"/>
      <c r="U429" s="12"/>
      <c r="V429" s="22"/>
      <c r="W429" s="22" t="str">
        <f t="array" ref="W429">IF(A429="","",IFERROR(INDEX(PARAMETROS!$J$2:$J700,MATCH(H429,PARAMETROS!$E$2:$E700,0)),""))</f>
        <v/>
      </c>
      <c r="X429" s="23" t="str">
        <f t="shared" si="1"/>
        <v/>
      </c>
    </row>
    <row r="430" spans="1:24">
      <c r="A430" s="12"/>
      <c r="B430" s="12"/>
      <c r="C430" s="12"/>
      <c r="D430" s="12"/>
      <c r="E430" s="12"/>
      <c r="F430" s="12"/>
      <c r="G430" s="12"/>
      <c r="H430" s="12"/>
      <c r="I430" s="12"/>
      <c r="J430" s="14"/>
      <c r="K430" s="12"/>
      <c r="L430" s="14"/>
      <c r="M430" s="12"/>
      <c r="N430" s="12"/>
      <c r="O430" s="14"/>
      <c r="P430" s="12"/>
      <c r="Q430" s="15"/>
      <c r="R430" s="15"/>
      <c r="S430" s="21"/>
      <c r="T430" s="12"/>
      <c r="U430" s="12"/>
      <c r="V430" s="22"/>
      <c r="W430" s="22" t="str">
        <f t="array" ref="W430">IF(A430="","",IFERROR(INDEX(PARAMETROS!$J$2:$J700,MATCH(H430,PARAMETROS!$E$2:$E700,0)),""))</f>
        <v/>
      </c>
      <c r="X430" s="23" t="str">
        <f t="shared" si="1"/>
        <v/>
      </c>
    </row>
    <row r="431" spans="1:24">
      <c r="A431" s="12"/>
      <c r="B431" s="12"/>
      <c r="C431" s="12"/>
      <c r="D431" s="12"/>
      <c r="E431" s="12"/>
      <c r="F431" s="12"/>
      <c r="G431" s="12"/>
      <c r="H431" s="12"/>
      <c r="I431" s="12"/>
      <c r="J431" s="14"/>
      <c r="K431" s="12"/>
      <c r="L431" s="14"/>
      <c r="M431" s="12"/>
      <c r="N431" s="12"/>
      <c r="O431" s="14"/>
      <c r="P431" s="12"/>
      <c r="Q431" s="15"/>
      <c r="R431" s="15"/>
      <c r="S431" s="21"/>
      <c r="T431" s="12"/>
      <c r="U431" s="12"/>
      <c r="V431" s="22"/>
      <c r="W431" s="22" t="str">
        <f t="array" ref="W431">IF(A431="","",IFERROR(INDEX(PARAMETROS!$J$2:$J700,MATCH(H431,PARAMETROS!$E$2:$E700,0)),""))</f>
        <v/>
      </c>
      <c r="X431" s="23" t="str">
        <f t="shared" si="1"/>
        <v/>
      </c>
    </row>
    <row r="432" spans="1:24">
      <c r="A432" s="12"/>
      <c r="B432" s="12"/>
      <c r="C432" s="12"/>
      <c r="D432" s="12"/>
      <c r="E432" s="12"/>
      <c r="F432" s="12"/>
      <c r="G432" s="12"/>
      <c r="H432" s="12"/>
      <c r="I432" s="12"/>
      <c r="J432" s="14"/>
      <c r="K432" s="12"/>
      <c r="L432" s="14"/>
      <c r="M432" s="12"/>
      <c r="N432" s="12"/>
      <c r="O432" s="14"/>
      <c r="P432" s="12"/>
      <c r="Q432" s="15"/>
      <c r="R432" s="15"/>
      <c r="S432" s="21"/>
      <c r="T432" s="12"/>
      <c r="U432" s="12"/>
      <c r="V432" s="22"/>
      <c r="W432" s="22" t="str">
        <f t="array" ref="W432">IF(A432="","",IFERROR(INDEX(PARAMETROS!$J$2:$J700,MATCH(H432,PARAMETROS!$E$2:$E700,0)),""))</f>
        <v/>
      </c>
      <c r="X432" s="23" t="str">
        <f t="shared" si="1"/>
        <v/>
      </c>
    </row>
    <row r="433" spans="1:24">
      <c r="A433" s="12"/>
      <c r="B433" s="12"/>
      <c r="C433" s="12"/>
      <c r="D433" s="12"/>
      <c r="E433" s="12"/>
      <c r="F433" s="12"/>
      <c r="G433" s="12"/>
      <c r="H433" s="12"/>
      <c r="I433" s="12"/>
      <c r="J433" s="14"/>
      <c r="K433" s="12"/>
      <c r="L433" s="14"/>
      <c r="M433" s="12"/>
      <c r="N433" s="12"/>
      <c r="O433" s="14"/>
      <c r="P433" s="12"/>
      <c r="Q433" s="15"/>
      <c r="R433" s="15"/>
      <c r="S433" s="21"/>
      <c r="T433" s="12"/>
      <c r="U433" s="12"/>
      <c r="V433" s="22"/>
      <c r="W433" s="22" t="str">
        <f t="array" ref="W433">IF(A433="","",IFERROR(INDEX(PARAMETROS!$J$2:$J700,MATCH(H433,PARAMETROS!$E$2:$E700,0)),""))</f>
        <v/>
      </c>
      <c r="X433" s="23" t="str">
        <f t="shared" si="1"/>
        <v/>
      </c>
    </row>
    <row r="434" spans="1:24">
      <c r="A434" s="12"/>
      <c r="B434" s="12"/>
      <c r="C434" s="12"/>
      <c r="D434" s="12"/>
      <c r="E434" s="12"/>
      <c r="F434" s="12"/>
      <c r="G434" s="12"/>
      <c r="H434" s="12"/>
      <c r="I434" s="12"/>
      <c r="J434" s="14"/>
      <c r="K434" s="12"/>
      <c r="L434" s="14"/>
      <c r="M434" s="12"/>
      <c r="N434" s="12"/>
      <c r="O434" s="14"/>
      <c r="P434" s="12"/>
      <c r="Q434" s="15"/>
      <c r="R434" s="15"/>
      <c r="S434" s="21"/>
      <c r="T434" s="12"/>
      <c r="U434" s="12"/>
      <c r="V434" s="22"/>
      <c r="W434" s="22" t="str">
        <f t="array" ref="W434">IF(A434="","",IFERROR(INDEX(PARAMETROS!$J$2:$J700,MATCH(H434,PARAMETROS!$E$2:$E700,0)),""))</f>
        <v/>
      </c>
      <c r="X434" s="23" t="str">
        <f t="shared" si="1"/>
        <v/>
      </c>
    </row>
    <row r="435" spans="1:24">
      <c r="A435" s="12"/>
      <c r="B435" s="12"/>
      <c r="C435" s="12"/>
      <c r="D435" s="12"/>
      <c r="E435" s="12"/>
      <c r="F435" s="12"/>
      <c r="G435" s="12"/>
      <c r="H435" s="12"/>
      <c r="I435" s="12"/>
      <c r="J435" s="14"/>
      <c r="K435" s="12"/>
      <c r="L435" s="14"/>
      <c r="M435" s="12"/>
      <c r="N435" s="12"/>
      <c r="O435" s="14"/>
      <c r="P435" s="12"/>
      <c r="Q435" s="15"/>
      <c r="R435" s="15"/>
      <c r="S435" s="21"/>
      <c r="T435" s="12"/>
      <c r="U435" s="12"/>
      <c r="V435" s="22"/>
      <c r="W435" s="22" t="str">
        <f t="array" ref="W435">IF(A435="","",IFERROR(INDEX(PARAMETROS!$J$2:$J700,MATCH(H435,PARAMETROS!$E$2:$E700,0)),""))</f>
        <v/>
      </c>
      <c r="X435" s="23" t="str">
        <f t="shared" si="1"/>
        <v/>
      </c>
    </row>
    <row r="436" spans="1:24">
      <c r="A436" s="12"/>
      <c r="B436" s="12"/>
      <c r="C436" s="12"/>
      <c r="D436" s="12"/>
      <c r="E436" s="12"/>
      <c r="F436" s="12"/>
      <c r="G436" s="12"/>
      <c r="H436" s="12"/>
      <c r="I436" s="12"/>
      <c r="J436" s="14"/>
      <c r="K436" s="12"/>
      <c r="L436" s="14"/>
      <c r="M436" s="12"/>
      <c r="N436" s="12"/>
      <c r="O436" s="14"/>
      <c r="P436" s="12"/>
      <c r="Q436" s="15"/>
      <c r="R436" s="15"/>
      <c r="S436" s="21"/>
      <c r="T436" s="12"/>
      <c r="U436" s="12"/>
      <c r="V436" s="22"/>
      <c r="W436" s="22" t="str">
        <f t="array" ref="W436">IF(A436="","",IFERROR(INDEX(PARAMETROS!$J$2:$J700,MATCH(H436,PARAMETROS!$E$2:$E700,0)),""))</f>
        <v/>
      </c>
      <c r="X436" s="23" t="str">
        <f t="shared" si="1"/>
        <v/>
      </c>
    </row>
    <row r="437" spans="1:24">
      <c r="A437" s="12"/>
      <c r="B437" s="12"/>
      <c r="C437" s="12"/>
      <c r="D437" s="12"/>
      <c r="E437" s="12"/>
      <c r="F437" s="12"/>
      <c r="G437" s="12"/>
      <c r="H437" s="12"/>
      <c r="I437" s="12"/>
      <c r="J437" s="14"/>
      <c r="K437" s="12"/>
      <c r="L437" s="14"/>
      <c r="M437" s="12"/>
      <c r="N437" s="12"/>
      <c r="O437" s="14"/>
      <c r="P437" s="12"/>
      <c r="Q437" s="15"/>
      <c r="R437" s="15"/>
      <c r="S437" s="21"/>
      <c r="T437" s="12"/>
      <c r="U437" s="12"/>
      <c r="V437" s="22"/>
      <c r="W437" s="22" t="str">
        <f t="array" ref="W437">IF(A437="","",IFERROR(INDEX(PARAMETROS!$J$2:$J700,MATCH(H437,PARAMETROS!$E$2:$E700,0)),""))</f>
        <v/>
      </c>
      <c r="X437" s="23" t="str">
        <f t="shared" si="1"/>
        <v/>
      </c>
    </row>
    <row r="438" spans="1:24">
      <c r="A438" s="12"/>
      <c r="B438" s="12"/>
      <c r="C438" s="12"/>
      <c r="D438" s="12"/>
      <c r="E438" s="12"/>
      <c r="F438" s="12"/>
      <c r="G438" s="12"/>
      <c r="H438" s="12"/>
      <c r="I438" s="12"/>
      <c r="J438" s="14"/>
      <c r="K438" s="12"/>
      <c r="L438" s="14"/>
      <c r="M438" s="12"/>
      <c r="N438" s="12"/>
      <c r="O438" s="14"/>
      <c r="P438" s="12"/>
      <c r="Q438" s="15"/>
      <c r="R438" s="15"/>
      <c r="S438" s="21"/>
      <c r="T438" s="12"/>
      <c r="U438" s="12"/>
      <c r="V438" s="22"/>
      <c r="W438" s="22" t="str">
        <f t="array" ref="W438">IF(A438="","",IFERROR(INDEX(PARAMETROS!$J$2:$J700,MATCH(H438,PARAMETROS!$E$2:$E700,0)),""))</f>
        <v/>
      </c>
      <c r="X438" s="23" t="str">
        <f t="shared" si="1"/>
        <v/>
      </c>
    </row>
    <row r="439" spans="1:24">
      <c r="A439" s="12"/>
      <c r="B439" s="12"/>
      <c r="C439" s="12"/>
      <c r="D439" s="12"/>
      <c r="E439" s="12"/>
      <c r="F439" s="12"/>
      <c r="G439" s="12"/>
      <c r="H439" s="12"/>
      <c r="I439" s="12"/>
      <c r="J439" s="14"/>
      <c r="K439" s="12"/>
      <c r="L439" s="14"/>
      <c r="M439" s="12"/>
      <c r="N439" s="12"/>
      <c r="O439" s="14"/>
      <c r="P439" s="12"/>
      <c r="Q439" s="15"/>
      <c r="R439" s="15"/>
      <c r="S439" s="21"/>
      <c r="T439" s="12"/>
      <c r="U439" s="12"/>
      <c r="V439" s="22"/>
      <c r="W439" s="22" t="str">
        <f t="array" ref="W439">IF(A439="","",IFERROR(INDEX(PARAMETROS!$J$2:$J700,MATCH(H439,PARAMETROS!$E$2:$E700,0)),""))</f>
        <v/>
      </c>
      <c r="X439" s="23" t="str">
        <f t="shared" si="1"/>
        <v/>
      </c>
    </row>
    <row r="440" spans="1:24">
      <c r="A440" s="12"/>
      <c r="B440" s="12"/>
      <c r="C440" s="12"/>
      <c r="D440" s="12"/>
      <c r="E440" s="12"/>
      <c r="F440" s="12"/>
      <c r="G440" s="12"/>
      <c r="H440" s="12"/>
      <c r="I440" s="12"/>
      <c r="J440" s="14"/>
      <c r="K440" s="12"/>
      <c r="L440" s="14"/>
      <c r="M440" s="12"/>
      <c r="N440" s="12"/>
      <c r="O440" s="14"/>
      <c r="P440" s="12"/>
      <c r="Q440" s="15"/>
      <c r="R440" s="15"/>
      <c r="S440" s="21"/>
      <c r="T440" s="12"/>
      <c r="U440" s="12"/>
      <c r="V440" s="22"/>
      <c r="W440" s="22" t="str">
        <f t="array" ref="W440">IF(A440="","",IFERROR(INDEX(PARAMETROS!$J$2:$J700,MATCH(H440,PARAMETROS!$E$2:$E700,0)),""))</f>
        <v/>
      </c>
      <c r="X440" s="23" t="str">
        <f t="shared" si="1"/>
        <v/>
      </c>
    </row>
    <row r="441" spans="1:24">
      <c r="A441" s="12"/>
      <c r="B441" s="12"/>
      <c r="C441" s="12"/>
      <c r="D441" s="12"/>
      <c r="E441" s="12"/>
      <c r="F441" s="12"/>
      <c r="G441" s="12"/>
      <c r="H441" s="12"/>
      <c r="I441" s="12"/>
      <c r="J441" s="14"/>
      <c r="K441" s="12"/>
      <c r="L441" s="14"/>
      <c r="M441" s="12"/>
      <c r="N441" s="12"/>
      <c r="O441" s="14"/>
      <c r="P441" s="12"/>
      <c r="Q441" s="15"/>
      <c r="R441" s="15"/>
      <c r="S441" s="21"/>
      <c r="T441" s="12"/>
      <c r="U441" s="12"/>
      <c r="V441" s="22"/>
      <c r="W441" s="22" t="str">
        <f t="array" ref="W441">IF(A441="","",IFERROR(INDEX(PARAMETROS!$J$2:$J700,MATCH(H441,PARAMETROS!$E$2:$E700,0)),""))</f>
        <v/>
      </c>
      <c r="X441" s="23" t="str">
        <f t="shared" si="1"/>
        <v/>
      </c>
    </row>
    <row r="442" spans="1:24">
      <c r="A442" s="12"/>
      <c r="B442" s="12"/>
      <c r="C442" s="12"/>
      <c r="D442" s="12"/>
      <c r="E442" s="12"/>
      <c r="F442" s="12"/>
      <c r="G442" s="12"/>
      <c r="H442" s="12"/>
      <c r="I442" s="12"/>
      <c r="J442" s="14"/>
      <c r="K442" s="12"/>
      <c r="L442" s="14"/>
      <c r="M442" s="12"/>
      <c r="N442" s="12"/>
      <c r="O442" s="14"/>
      <c r="P442" s="12"/>
      <c r="Q442" s="15"/>
      <c r="R442" s="15"/>
      <c r="S442" s="21"/>
      <c r="T442" s="12"/>
      <c r="U442" s="12"/>
      <c r="V442" s="22"/>
      <c r="W442" s="22" t="str">
        <f t="array" ref="W442">IF(A442="","",IFERROR(INDEX(PARAMETROS!$J$2:$J700,MATCH(H442,PARAMETROS!$E$2:$E700,0)),""))</f>
        <v/>
      </c>
      <c r="X442" s="23" t="str">
        <f t="shared" si="1"/>
        <v/>
      </c>
    </row>
    <row r="443" spans="1:24">
      <c r="A443" s="12"/>
      <c r="B443" s="12"/>
      <c r="C443" s="12"/>
      <c r="D443" s="12"/>
      <c r="E443" s="12"/>
      <c r="F443" s="12"/>
      <c r="G443" s="12"/>
      <c r="H443" s="12"/>
      <c r="I443" s="12"/>
      <c r="J443" s="14"/>
      <c r="K443" s="12"/>
      <c r="L443" s="14"/>
      <c r="M443" s="12"/>
      <c r="N443" s="12"/>
      <c r="O443" s="14"/>
      <c r="P443" s="12"/>
      <c r="Q443" s="15"/>
      <c r="R443" s="15"/>
      <c r="S443" s="21"/>
      <c r="T443" s="12"/>
      <c r="U443" s="12"/>
      <c r="V443" s="22"/>
      <c r="W443" s="22" t="str">
        <f t="array" ref="W443">IF(A443="","",IFERROR(INDEX(PARAMETROS!$J$2:$J700,MATCH(H443,PARAMETROS!$E$2:$E700,0)),""))</f>
        <v/>
      </c>
      <c r="X443" s="23" t="str">
        <f t="shared" si="1"/>
        <v/>
      </c>
    </row>
    <row r="444" spans="1:24">
      <c r="A444" s="12"/>
      <c r="B444" s="12"/>
      <c r="C444" s="12"/>
      <c r="D444" s="12"/>
      <c r="E444" s="12"/>
      <c r="F444" s="12"/>
      <c r="G444" s="12"/>
      <c r="H444" s="12"/>
      <c r="I444" s="12"/>
      <c r="J444" s="14"/>
      <c r="K444" s="12"/>
      <c r="L444" s="14"/>
      <c r="M444" s="12"/>
      <c r="N444" s="12"/>
      <c r="O444" s="14"/>
      <c r="P444" s="12"/>
      <c r="Q444" s="15"/>
      <c r="R444" s="15"/>
      <c r="S444" s="21"/>
      <c r="T444" s="12"/>
      <c r="U444" s="12"/>
      <c r="V444" s="22"/>
      <c r="W444" s="22" t="str">
        <f t="array" ref="W444">IF(A444="","",IFERROR(INDEX(PARAMETROS!$J$2:$J700,MATCH(H444,PARAMETROS!$E$2:$E700,0)),""))</f>
        <v/>
      </c>
      <c r="X444" s="23" t="str">
        <f t="shared" si="1"/>
        <v/>
      </c>
    </row>
    <row r="445" spans="1:24">
      <c r="A445" s="12"/>
      <c r="B445" s="12"/>
      <c r="C445" s="12"/>
      <c r="D445" s="12"/>
      <c r="E445" s="12"/>
      <c r="F445" s="12"/>
      <c r="G445" s="12"/>
      <c r="H445" s="12"/>
      <c r="I445" s="12"/>
      <c r="J445" s="14"/>
      <c r="K445" s="12"/>
      <c r="L445" s="14"/>
      <c r="M445" s="12"/>
      <c r="N445" s="12"/>
      <c r="O445" s="14"/>
      <c r="P445" s="12"/>
      <c r="Q445" s="15"/>
      <c r="R445" s="15"/>
      <c r="S445" s="21"/>
      <c r="T445" s="12"/>
      <c r="U445" s="12"/>
      <c r="V445" s="22"/>
      <c r="W445" s="22" t="str">
        <f t="array" ref="W445">IF(A445="","",IFERROR(INDEX(PARAMETROS!$J$2:$J700,MATCH(H445,PARAMETROS!$E$2:$E700,0)),""))</f>
        <v/>
      </c>
      <c r="X445" s="23" t="str">
        <f t="shared" si="1"/>
        <v/>
      </c>
    </row>
    <row r="446" spans="1:24">
      <c r="A446" s="12"/>
      <c r="B446" s="12"/>
      <c r="C446" s="12"/>
      <c r="D446" s="12"/>
      <c r="E446" s="12"/>
      <c r="F446" s="12"/>
      <c r="G446" s="12"/>
      <c r="H446" s="12"/>
      <c r="I446" s="12"/>
      <c r="J446" s="14"/>
      <c r="K446" s="12"/>
      <c r="L446" s="14"/>
      <c r="M446" s="12"/>
      <c r="N446" s="12"/>
      <c r="O446" s="14"/>
      <c r="P446" s="12"/>
      <c r="Q446" s="15"/>
      <c r="R446" s="15"/>
      <c r="S446" s="21"/>
      <c r="T446" s="12"/>
      <c r="U446" s="12"/>
      <c r="V446" s="22"/>
      <c r="W446" s="22" t="str">
        <f t="array" ref="W446">IF(A446="","",IFERROR(INDEX(PARAMETROS!$J$2:$J700,MATCH(H446,PARAMETROS!$E$2:$E700,0)),""))</f>
        <v/>
      </c>
      <c r="X446" s="23" t="str">
        <f t="shared" si="1"/>
        <v/>
      </c>
    </row>
    <row r="447" spans="1:24">
      <c r="A447" s="12"/>
      <c r="B447" s="12"/>
      <c r="C447" s="12"/>
      <c r="D447" s="12"/>
      <c r="E447" s="12"/>
      <c r="F447" s="12"/>
      <c r="G447" s="12"/>
      <c r="H447" s="12"/>
      <c r="I447" s="12"/>
      <c r="J447" s="14"/>
      <c r="K447" s="12"/>
      <c r="L447" s="14"/>
      <c r="M447" s="12"/>
      <c r="N447" s="12"/>
      <c r="O447" s="14"/>
      <c r="P447" s="12"/>
      <c r="Q447" s="15"/>
      <c r="R447" s="15"/>
      <c r="S447" s="21"/>
      <c r="T447" s="12"/>
      <c r="U447" s="12"/>
      <c r="V447" s="22"/>
      <c r="W447" s="22" t="str">
        <f t="array" ref="W447">IF(A447="","",IFERROR(INDEX(PARAMETROS!$J$2:$J700,MATCH(H447,PARAMETROS!$E$2:$E700,0)),""))</f>
        <v/>
      </c>
      <c r="X447" s="23" t="str">
        <f t="shared" si="1"/>
        <v/>
      </c>
    </row>
    <row r="448" spans="1:24">
      <c r="A448" s="12"/>
      <c r="B448" s="12"/>
      <c r="C448" s="12"/>
      <c r="D448" s="12"/>
      <c r="E448" s="12"/>
      <c r="F448" s="12"/>
      <c r="G448" s="12"/>
      <c r="H448" s="12"/>
      <c r="I448" s="12"/>
      <c r="J448" s="14"/>
      <c r="K448" s="12"/>
      <c r="L448" s="14"/>
      <c r="M448" s="12"/>
      <c r="N448" s="12"/>
      <c r="O448" s="14"/>
      <c r="P448" s="12"/>
      <c r="Q448" s="15"/>
      <c r="R448" s="15"/>
      <c r="S448" s="21"/>
      <c r="T448" s="12"/>
      <c r="U448" s="12"/>
      <c r="V448" s="22"/>
      <c r="W448" s="22" t="str">
        <f t="array" ref="W448">IF(A448="","",IFERROR(INDEX(PARAMETROS!$J$2:$J700,MATCH(H448,PARAMETROS!$E$2:$E700,0)),""))</f>
        <v/>
      </c>
      <c r="X448" s="23" t="str">
        <f t="shared" si="1"/>
        <v/>
      </c>
    </row>
    <row r="449" spans="1:24">
      <c r="A449" s="12"/>
      <c r="B449" s="12"/>
      <c r="C449" s="12"/>
      <c r="D449" s="12"/>
      <c r="E449" s="12"/>
      <c r="F449" s="12"/>
      <c r="G449" s="12"/>
      <c r="H449" s="12"/>
      <c r="I449" s="12"/>
      <c r="J449" s="14"/>
      <c r="K449" s="12"/>
      <c r="L449" s="14"/>
      <c r="M449" s="12"/>
      <c r="N449" s="12"/>
      <c r="O449" s="14"/>
      <c r="P449" s="12"/>
      <c r="Q449" s="15"/>
      <c r="R449" s="15"/>
      <c r="S449" s="21"/>
      <c r="T449" s="12"/>
      <c r="U449" s="12"/>
      <c r="V449" s="22"/>
      <c r="W449" s="22" t="str">
        <f t="array" ref="W449">IF(A449="","",IFERROR(INDEX(PARAMETROS!$J$2:$J700,MATCH(H449,PARAMETROS!$E$2:$E700,0)),""))</f>
        <v/>
      </c>
      <c r="X449" s="23" t="str">
        <f t="shared" si="1"/>
        <v/>
      </c>
    </row>
    <row r="450" spans="1:24">
      <c r="A450" s="12"/>
      <c r="B450" s="12"/>
      <c r="C450" s="12"/>
      <c r="D450" s="12"/>
      <c r="E450" s="12"/>
      <c r="F450" s="12"/>
      <c r="G450" s="12"/>
      <c r="H450" s="12"/>
      <c r="I450" s="12"/>
      <c r="J450" s="14"/>
      <c r="K450" s="12"/>
      <c r="L450" s="14"/>
      <c r="M450" s="12"/>
      <c r="N450" s="12"/>
      <c r="O450" s="14"/>
      <c r="P450" s="12"/>
      <c r="Q450" s="15"/>
      <c r="R450" s="15"/>
      <c r="S450" s="21"/>
      <c r="T450" s="12"/>
      <c r="U450" s="12"/>
      <c r="V450" s="22"/>
      <c r="W450" s="22" t="str">
        <f t="array" ref="W450">IF(A450="","",IFERROR(INDEX(PARAMETROS!$J$2:$J700,MATCH(H450,PARAMETROS!$E$2:$E700,0)),""))</f>
        <v/>
      </c>
      <c r="X450" s="23" t="str">
        <f t="shared" si="1"/>
        <v/>
      </c>
    </row>
    <row r="451" spans="1:24">
      <c r="A451" s="12"/>
      <c r="B451" s="12"/>
      <c r="C451" s="12"/>
      <c r="D451" s="12"/>
      <c r="E451" s="12"/>
      <c r="F451" s="12"/>
      <c r="G451" s="12"/>
      <c r="H451" s="12"/>
      <c r="I451" s="12"/>
      <c r="J451" s="14"/>
      <c r="K451" s="12"/>
      <c r="L451" s="14"/>
      <c r="M451" s="12"/>
      <c r="N451" s="12"/>
      <c r="O451" s="14"/>
      <c r="P451" s="12"/>
      <c r="Q451" s="15"/>
      <c r="R451" s="15"/>
      <c r="S451" s="21"/>
      <c r="T451" s="12"/>
      <c r="U451" s="12"/>
      <c r="V451" s="22"/>
      <c r="W451" s="22" t="str">
        <f t="array" ref="W451">IF(A451="","",IFERROR(INDEX(PARAMETROS!$J$2:$J700,MATCH(H451,PARAMETROS!$E$2:$E700,0)),""))</f>
        <v/>
      </c>
      <c r="X451" s="23" t="str">
        <f t="shared" si="1"/>
        <v/>
      </c>
    </row>
    <row r="452" spans="1:24">
      <c r="A452" s="12"/>
      <c r="B452" s="12"/>
      <c r="C452" s="12"/>
      <c r="D452" s="12"/>
      <c r="E452" s="12"/>
      <c r="F452" s="12"/>
      <c r="G452" s="12"/>
      <c r="H452" s="12"/>
      <c r="I452" s="12"/>
      <c r="J452" s="14"/>
      <c r="K452" s="12"/>
      <c r="L452" s="14"/>
      <c r="M452" s="12"/>
      <c r="N452" s="12"/>
      <c r="O452" s="14"/>
      <c r="P452" s="12"/>
      <c r="Q452" s="15"/>
      <c r="R452" s="15"/>
      <c r="S452" s="21"/>
      <c r="T452" s="12"/>
      <c r="U452" s="12"/>
      <c r="V452" s="22"/>
      <c r="W452" s="22" t="str">
        <f t="array" ref="W452">IF(A452="","",IFERROR(INDEX(PARAMETROS!$J$2:$J700,MATCH(H452,PARAMETROS!$E$2:$E700,0)),""))</f>
        <v/>
      </c>
      <c r="X452" s="23" t="str">
        <f t="shared" si="1"/>
        <v/>
      </c>
    </row>
    <row r="453" spans="1:24">
      <c r="A453" s="12"/>
      <c r="B453" s="12"/>
      <c r="C453" s="12"/>
      <c r="D453" s="12"/>
      <c r="E453" s="12"/>
      <c r="F453" s="12"/>
      <c r="G453" s="12"/>
      <c r="H453" s="12"/>
      <c r="I453" s="12"/>
      <c r="J453" s="14"/>
      <c r="K453" s="12"/>
      <c r="L453" s="14"/>
      <c r="M453" s="12"/>
      <c r="N453" s="12"/>
      <c r="O453" s="14"/>
      <c r="P453" s="12"/>
      <c r="Q453" s="15"/>
      <c r="R453" s="15"/>
      <c r="S453" s="21"/>
      <c r="T453" s="12"/>
      <c r="U453" s="12"/>
      <c r="V453" s="22"/>
      <c r="W453" s="22" t="str">
        <f t="array" ref="W453">IF(A453="","",IFERROR(INDEX(PARAMETROS!$J$2:$J700,MATCH(H453,PARAMETROS!$E$2:$E700,0)),""))</f>
        <v/>
      </c>
      <c r="X453" s="23" t="str">
        <f t="shared" si="1"/>
        <v/>
      </c>
    </row>
    <row r="454" spans="1:24">
      <c r="A454" s="12"/>
      <c r="B454" s="12"/>
      <c r="C454" s="12"/>
      <c r="D454" s="12"/>
      <c r="E454" s="12"/>
      <c r="F454" s="12"/>
      <c r="G454" s="12"/>
      <c r="H454" s="12"/>
      <c r="I454" s="12"/>
      <c r="J454" s="14"/>
      <c r="K454" s="12"/>
      <c r="L454" s="14"/>
      <c r="M454" s="12"/>
      <c r="N454" s="12"/>
      <c r="O454" s="14"/>
      <c r="P454" s="12"/>
      <c r="Q454" s="15"/>
      <c r="R454" s="15"/>
      <c r="S454" s="21"/>
      <c r="T454" s="12"/>
      <c r="U454" s="12"/>
      <c r="V454" s="22"/>
      <c r="W454" s="22" t="str">
        <f t="array" ref="W454">IF(A454="","",IFERROR(INDEX(PARAMETROS!$J$2:$J700,MATCH(H454,PARAMETROS!$E$2:$E700,0)),""))</f>
        <v/>
      </c>
      <c r="X454" s="23" t="str">
        <f t="shared" si="1"/>
        <v/>
      </c>
    </row>
    <row r="455" spans="1:24">
      <c r="A455" s="12"/>
      <c r="B455" s="12"/>
      <c r="C455" s="12"/>
      <c r="D455" s="12"/>
      <c r="E455" s="12"/>
      <c r="F455" s="12"/>
      <c r="G455" s="12"/>
      <c r="H455" s="12"/>
      <c r="I455" s="12"/>
      <c r="J455" s="14"/>
      <c r="K455" s="12"/>
      <c r="L455" s="14"/>
      <c r="M455" s="12"/>
      <c r="N455" s="12"/>
      <c r="O455" s="14"/>
      <c r="P455" s="12"/>
      <c r="Q455" s="15"/>
      <c r="R455" s="15"/>
      <c r="S455" s="21"/>
      <c r="T455" s="12"/>
      <c r="U455" s="12"/>
      <c r="V455" s="22"/>
      <c r="W455" s="22" t="str">
        <f t="array" ref="W455">IF(A455="","",IFERROR(INDEX(PARAMETROS!$J$2:$J700,MATCH(H455,PARAMETROS!$E$2:$E700,0)),""))</f>
        <v/>
      </c>
      <c r="X455" s="23" t="str">
        <f t="shared" si="1"/>
        <v/>
      </c>
    </row>
    <row r="456" spans="1:24">
      <c r="A456" s="12"/>
      <c r="B456" s="12"/>
      <c r="C456" s="12"/>
      <c r="D456" s="12"/>
      <c r="E456" s="12"/>
      <c r="F456" s="12"/>
      <c r="G456" s="12"/>
      <c r="H456" s="12"/>
      <c r="I456" s="12"/>
      <c r="J456" s="14"/>
      <c r="K456" s="12"/>
      <c r="L456" s="14"/>
      <c r="M456" s="12"/>
      <c r="N456" s="12"/>
      <c r="O456" s="14"/>
      <c r="P456" s="12"/>
      <c r="Q456" s="15"/>
      <c r="R456" s="15"/>
      <c r="S456" s="21"/>
      <c r="T456" s="12"/>
      <c r="U456" s="12"/>
      <c r="V456" s="22"/>
      <c r="W456" s="22" t="str">
        <f t="array" ref="W456">IF(A456="","",IFERROR(INDEX(PARAMETROS!$J$2:$J700,MATCH(H456,PARAMETROS!$E$2:$E700,0)),""))</f>
        <v/>
      </c>
      <c r="X456" s="23" t="str">
        <f t="shared" si="1"/>
        <v/>
      </c>
    </row>
    <row r="457" spans="1:24">
      <c r="A457" s="12"/>
      <c r="B457" s="12"/>
      <c r="C457" s="12"/>
      <c r="D457" s="12"/>
      <c r="E457" s="12"/>
      <c r="F457" s="12"/>
      <c r="G457" s="12"/>
      <c r="H457" s="12"/>
      <c r="I457" s="12"/>
      <c r="J457" s="14"/>
      <c r="K457" s="12"/>
      <c r="L457" s="14"/>
      <c r="M457" s="12"/>
      <c r="N457" s="12"/>
      <c r="O457" s="14"/>
      <c r="P457" s="12"/>
      <c r="Q457" s="15"/>
      <c r="R457" s="15"/>
      <c r="S457" s="21"/>
      <c r="T457" s="12"/>
      <c r="U457" s="12"/>
      <c r="V457" s="22"/>
      <c r="W457" s="22" t="str">
        <f t="array" ref="W457">IF(A457="","",IFERROR(INDEX(PARAMETROS!$J$2:$J700,MATCH(H457,PARAMETROS!$E$2:$E700,0)),""))</f>
        <v/>
      </c>
      <c r="X457" s="23" t="str">
        <f t="shared" si="1"/>
        <v/>
      </c>
    </row>
    <row r="458" spans="1:24">
      <c r="A458" s="12"/>
      <c r="B458" s="12"/>
      <c r="C458" s="12"/>
      <c r="D458" s="12"/>
      <c r="E458" s="12"/>
      <c r="F458" s="12"/>
      <c r="G458" s="12"/>
      <c r="H458" s="12"/>
      <c r="I458" s="12"/>
      <c r="J458" s="14"/>
      <c r="K458" s="12"/>
      <c r="L458" s="14"/>
      <c r="M458" s="12"/>
      <c r="N458" s="12"/>
      <c r="O458" s="14"/>
      <c r="P458" s="12"/>
      <c r="Q458" s="15"/>
      <c r="R458" s="15"/>
      <c r="S458" s="21"/>
      <c r="T458" s="12"/>
      <c r="U458" s="12"/>
      <c r="V458" s="22"/>
      <c r="W458" s="22" t="str">
        <f t="array" ref="W458">IF(A458="","",IFERROR(INDEX(PARAMETROS!$J$2:$J700,MATCH(H458,PARAMETROS!$E$2:$E700,0)),""))</f>
        <v/>
      </c>
      <c r="X458" s="23" t="str">
        <f t="shared" si="1"/>
        <v/>
      </c>
    </row>
    <row r="459" spans="1:24">
      <c r="A459" s="12"/>
      <c r="B459" s="12"/>
      <c r="C459" s="12"/>
      <c r="D459" s="12"/>
      <c r="E459" s="12"/>
      <c r="F459" s="12"/>
      <c r="G459" s="12"/>
      <c r="H459" s="12"/>
      <c r="I459" s="12"/>
      <c r="J459" s="14"/>
      <c r="K459" s="12"/>
      <c r="L459" s="14"/>
      <c r="M459" s="12"/>
      <c r="N459" s="12"/>
      <c r="O459" s="14"/>
      <c r="P459" s="12"/>
      <c r="Q459" s="15"/>
      <c r="R459" s="15"/>
      <c r="S459" s="21"/>
      <c r="T459" s="12"/>
      <c r="U459" s="12"/>
      <c r="V459" s="22"/>
      <c r="W459" s="22" t="str">
        <f t="array" ref="W459">IF(A459="","",IFERROR(INDEX(PARAMETROS!$J$2:$J700,MATCH(H459,PARAMETROS!$E$2:$E700,0)),""))</f>
        <v/>
      </c>
      <c r="X459" s="23" t="str">
        <f t="shared" si="1"/>
        <v/>
      </c>
    </row>
    <row r="460" spans="1:24">
      <c r="A460" s="12"/>
      <c r="B460" s="12"/>
      <c r="C460" s="12"/>
      <c r="D460" s="12"/>
      <c r="E460" s="12"/>
      <c r="F460" s="12"/>
      <c r="G460" s="12"/>
      <c r="H460" s="12"/>
      <c r="I460" s="12"/>
      <c r="J460" s="14"/>
      <c r="K460" s="12"/>
      <c r="L460" s="14"/>
      <c r="M460" s="12"/>
      <c r="N460" s="12"/>
      <c r="O460" s="14"/>
      <c r="P460" s="12"/>
      <c r="Q460" s="15"/>
      <c r="R460" s="15"/>
      <c r="S460" s="21"/>
      <c r="T460" s="12"/>
      <c r="U460" s="12"/>
      <c r="V460" s="22"/>
      <c r="W460" s="22" t="str">
        <f t="array" ref="W460">IF(A460="","",IFERROR(INDEX(PARAMETROS!$J$2:$J700,MATCH(H460,PARAMETROS!$E$2:$E700,0)),""))</f>
        <v/>
      </c>
      <c r="X460" s="23" t="str">
        <f t="shared" si="1"/>
        <v/>
      </c>
    </row>
    <row r="461" spans="1:24">
      <c r="A461" s="12"/>
      <c r="B461" s="12"/>
      <c r="C461" s="12"/>
      <c r="D461" s="12"/>
      <c r="E461" s="12"/>
      <c r="F461" s="12"/>
      <c r="G461" s="12"/>
      <c r="H461" s="12"/>
      <c r="I461" s="12"/>
      <c r="J461" s="14"/>
      <c r="K461" s="12"/>
      <c r="L461" s="14"/>
      <c r="M461" s="12"/>
      <c r="N461" s="12"/>
      <c r="O461" s="14"/>
      <c r="P461" s="12"/>
      <c r="Q461" s="15"/>
      <c r="R461" s="15"/>
      <c r="S461" s="21"/>
      <c r="T461" s="12"/>
      <c r="U461" s="12"/>
      <c r="V461" s="22"/>
      <c r="W461" s="22" t="str">
        <f t="array" ref="W461">IF(A461="","",IFERROR(INDEX(PARAMETROS!$J$2:$J700,MATCH(H461,PARAMETROS!$E$2:$E700,0)),""))</f>
        <v/>
      </c>
      <c r="X461" s="23" t="str">
        <f t="shared" si="1"/>
        <v/>
      </c>
    </row>
    <row r="462" spans="1:24">
      <c r="A462" s="12"/>
      <c r="B462" s="12"/>
      <c r="C462" s="12"/>
      <c r="D462" s="12"/>
      <c r="E462" s="12"/>
      <c r="F462" s="12"/>
      <c r="G462" s="12"/>
      <c r="H462" s="12"/>
      <c r="I462" s="12"/>
      <c r="J462" s="14"/>
      <c r="K462" s="12"/>
      <c r="L462" s="14"/>
      <c r="M462" s="12"/>
      <c r="N462" s="12"/>
      <c r="O462" s="14"/>
      <c r="P462" s="12"/>
      <c r="Q462" s="15"/>
      <c r="R462" s="15"/>
      <c r="S462" s="21"/>
      <c r="T462" s="12"/>
      <c r="U462" s="12"/>
      <c r="V462" s="22"/>
      <c r="W462" s="22" t="str">
        <f t="array" ref="W462">IF(A462="","",IFERROR(INDEX(PARAMETROS!$J$2:$J700,MATCH(H462,PARAMETROS!$E$2:$E700,0)),""))</f>
        <v/>
      </c>
      <c r="X462" s="23" t="str">
        <f t="shared" si="1"/>
        <v/>
      </c>
    </row>
    <row r="463" spans="1:24">
      <c r="A463" s="12"/>
      <c r="B463" s="12"/>
      <c r="C463" s="12"/>
      <c r="D463" s="12"/>
      <c r="E463" s="12"/>
      <c r="F463" s="12"/>
      <c r="G463" s="12"/>
      <c r="H463" s="12"/>
      <c r="I463" s="12"/>
      <c r="J463" s="14"/>
      <c r="K463" s="12"/>
      <c r="L463" s="14"/>
      <c r="M463" s="12"/>
      <c r="N463" s="12"/>
      <c r="O463" s="14"/>
      <c r="P463" s="12"/>
      <c r="Q463" s="15"/>
      <c r="R463" s="15"/>
      <c r="S463" s="21"/>
      <c r="T463" s="12"/>
      <c r="U463" s="12"/>
      <c r="V463" s="22"/>
      <c r="W463" s="22" t="str">
        <f t="array" ref="W463">IF(A463="","",IFERROR(INDEX(PARAMETROS!$J$2:$J700,MATCH(H463,PARAMETROS!$E$2:$E700,0)),""))</f>
        <v/>
      </c>
      <c r="X463" s="23" t="str">
        <f t="shared" si="1"/>
        <v/>
      </c>
    </row>
    <row r="464" spans="1:24">
      <c r="A464" s="12"/>
      <c r="B464" s="12"/>
      <c r="C464" s="12"/>
      <c r="D464" s="12"/>
      <c r="E464" s="12"/>
      <c r="F464" s="12"/>
      <c r="G464" s="12"/>
      <c r="H464" s="12"/>
      <c r="I464" s="12"/>
      <c r="J464" s="14"/>
      <c r="K464" s="12"/>
      <c r="L464" s="14"/>
      <c r="M464" s="12"/>
      <c r="N464" s="12"/>
      <c r="O464" s="14"/>
      <c r="P464" s="12"/>
      <c r="Q464" s="15"/>
      <c r="R464" s="15"/>
      <c r="S464" s="21"/>
      <c r="T464" s="12"/>
      <c r="U464" s="12"/>
      <c r="V464" s="22"/>
      <c r="W464" s="22" t="str">
        <f t="array" ref="W464">IF(A464="","",IFERROR(INDEX(PARAMETROS!$J$2:$J700,MATCH(H464,PARAMETROS!$E$2:$E700,0)),""))</f>
        <v/>
      </c>
      <c r="X464" s="23" t="str">
        <f t="shared" si="1"/>
        <v/>
      </c>
    </row>
    <row r="465" spans="1:24">
      <c r="A465" s="12"/>
      <c r="B465" s="12"/>
      <c r="C465" s="12"/>
      <c r="D465" s="12"/>
      <c r="E465" s="12"/>
      <c r="F465" s="12"/>
      <c r="G465" s="12"/>
      <c r="H465" s="12"/>
      <c r="I465" s="12"/>
      <c r="J465" s="14"/>
      <c r="K465" s="12"/>
      <c r="L465" s="14"/>
      <c r="M465" s="12"/>
      <c r="N465" s="12"/>
      <c r="O465" s="14"/>
      <c r="P465" s="12"/>
      <c r="Q465" s="15"/>
      <c r="R465" s="15"/>
      <c r="S465" s="21"/>
      <c r="T465" s="12"/>
      <c r="U465" s="12"/>
      <c r="V465" s="22"/>
      <c r="W465" s="22" t="str">
        <f t="array" ref="W465">IF(A465="","",IFERROR(INDEX(PARAMETROS!$J$2:$J700,MATCH(H465,PARAMETROS!$E$2:$E700,0)),""))</f>
        <v/>
      </c>
      <c r="X465" s="23" t="str">
        <f t="shared" si="1"/>
        <v/>
      </c>
    </row>
    <row r="466" spans="1:24">
      <c r="A466" s="12"/>
      <c r="B466" s="12"/>
      <c r="C466" s="12"/>
      <c r="D466" s="12"/>
      <c r="E466" s="12"/>
      <c r="F466" s="12"/>
      <c r="G466" s="12"/>
      <c r="H466" s="12"/>
      <c r="I466" s="12"/>
      <c r="J466" s="14"/>
      <c r="K466" s="12"/>
      <c r="L466" s="14"/>
      <c r="M466" s="12"/>
      <c r="N466" s="12"/>
      <c r="O466" s="14"/>
      <c r="P466" s="12"/>
      <c r="Q466" s="15"/>
      <c r="R466" s="15"/>
      <c r="S466" s="21"/>
      <c r="T466" s="12"/>
      <c r="U466" s="12"/>
      <c r="V466" s="22"/>
      <c r="W466" s="22" t="str">
        <f t="array" ref="W466">IF(A466="","",IFERROR(INDEX(PARAMETROS!$J$2:$J700,MATCH(H466,PARAMETROS!$E$2:$E700,0)),""))</f>
        <v/>
      </c>
      <c r="X466" s="23" t="str">
        <f t="shared" si="1"/>
        <v/>
      </c>
    </row>
    <row r="467" spans="1:24">
      <c r="A467" s="12"/>
      <c r="B467" s="12"/>
      <c r="C467" s="12"/>
      <c r="D467" s="12"/>
      <c r="E467" s="12"/>
      <c r="F467" s="12"/>
      <c r="G467" s="12"/>
      <c r="H467" s="12"/>
      <c r="I467" s="12"/>
      <c r="J467" s="14"/>
      <c r="K467" s="12"/>
      <c r="L467" s="14"/>
      <c r="M467" s="12"/>
      <c r="N467" s="12"/>
      <c r="O467" s="14"/>
      <c r="P467" s="12"/>
      <c r="Q467" s="15"/>
      <c r="R467" s="15"/>
      <c r="S467" s="21"/>
      <c r="T467" s="12"/>
      <c r="U467" s="12"/>
      <c r="V467" s="22"/>
      <c r="W467" s="22" t="str">
        <f t="array" ref="W467">IF(A467="","",IFERROR(INDEX(PARAMETROS!$J$2:$J700,MATCH(H467,PARAMETROS!$E$2:$E700,0)),""))</f>
        <v/>
      </c>
      <c r="X467" s="23" t="str">
        <f t="shared" si="1"/>
        <v/>
      </c>
    </row>
    <row r="468" spans="1:24">
      <c r="A468" s="12"/>
      <c r="B468" s="12"/>
      <c r="C468" s="12"/>
      <c r="D468" s="12"/>
      <c r="E468" s="12"/>
      <c r="F468" s="12"/>
      <c r="G468" s="12"/>
      <c r="H468" s="12"/>
      <c r="I468" s="12"/>
      <c r="J468" s="14"/>
      <c r="K468" s="12"/>
      <c r="L468" s="14"/>
      <c r="M468" s="12"/>
      <c r="N468" s="12"/>
      <c r="O468" s="14"/>
      <c r="P468" s="12"/>
      <c r="Q468" s="15"/>
      <c r="R468" s="15"/>
      <c r="S468" s="21"/>
      <c r="T468" s="12"/>
      <c r="U468" s="12"/>
      <c r="V468" s="22"/>
      <c r="W468" s="22" t="str">
        <f t="array" ref="W468">IF(A468="","",IFERROR(INDEX(PARAMETROS!$J$2:$J700,MATCH(H468,PARAMETROS!$E$2:$E700,0)),""))</f>
        <v/>
      </c>
      <c r="X468" s="23" t="str">
        <f t="shared" si="1"/>
        <v/>
      </c>
    </row>
    <row r="469" spans="1:24">
      <c r="A469" s="12"/>
      <c r="B469" s="12"/>
      <c r="C469" s="12"/>
      <c r="D469" s="12"/>
      <c r="E469" s="12"/>
      <c r="F469" s="12"/>
      <c r="G469" s="12"/>
      <c r="H469" s="12"/>
      <c r="I469" s="12"/>
      <c r="J469" s="14"/>
      <c r="K469" s="12"/>
      <c r="L469" s="14"/>
      <c r="M469" s="12"/>
      <c r="N469" s="12"/>
      <c r="O469" s="14"/>
      <c r="P469" s="12"/>
      <c r="Q469" s="15"/>
      <c r="R469" s="15"/>
      <c r="S469" s="21"/>
      <c r="T469" s="12"/>
      <c r="U469" s="12"/>
      <c r="V469" s="22"/>
      <c r="W469" s="22" t="str">
        <f t="array" ref="W469">IF(A469="","",IFERROR(INDEX(PARAMETROS!$J$2:$J700,MATCH(H469,PARAMETROS!$E$2:$E700,0)),""))</f>
        <v/>
      </c>
      <c r="X469" s="23" t="str">
        <f t="shared" si="1"/>
        <v/>
      </c>
    </row>
    <row r="470" spans="1:24">
      <c r="A470" s="12"/>
      <c r="B470" s="12"/>
      <c r="C470" s="12"/>
      <c r="D470" s="12"/>
      <c r="E470" s="12"/>
      <c r="F470" s="12"/>
      <c r="G470" s="12"/>
      <c r="H470" s="12"/>
      <c r="I470" s="12"/>
      <c r="J470" s="14"/>
      <c r="K470" s="12"/>
      <c r="L470" s="14"/>
      <c r="M470" s="12"/>
      <c r="N470" s="12"/>
      <c r="O470" s="14"/>
      <c r="P470" s="12"/>
      <c r="Q470" s="15"/>
      <c r="R470" s="15"/>
      <c r="S470" s="21"/>
      <c r="T470" s="12"/>
      <c r="U470" s="12"/>
      <c r="V470" s="22"/>
      <c r="W470" s="22" t="str">
        <f t="array" ref="W470">IF(A470="","",IFERROR(INDEX(PARAMETROS!$J$2:$J700,MATCH(H470,PARAMETROS!$E$2:$E700,0)),""))</f>
        <v/>
      </c>
      <c r="X470" s="23" t="str">
        <f t="shared" si="1"/>
        <v/>
      </c>
    </row>
    <row r="471" spans="1:24">
      <c r="A471" s="12"/>
      <c r="B471" s="12"/>
      <c r="C471" s="12"/>
      <c r="D471" s="12"/>
      <c r="E471" s="12"/>
      <c r="F471" s="12"/>
      <c r="G471" s="12"/>
      <c r="H471" s="12"/>
      <c r="I471" s="12"/>
      <c r="J471" s="14"/>
      <c r="K471" s="12"/>
      <c r="L471" s="14"/>
      <c r="M471" s="12"/>
      <c r="N471" s="12"/>
      <c r="O471" s="14"/>
      <c r="P471" s="12"/>
      <c r="Q471" s="15"/>
      <c r="R471" s="15"/>
      <c r="S471" s="21"/>
      <c r="T471" s="12"/>
      <c r="U471" s="12"/>
      <c r="V471" s="22"/>
      <c r="W471" s="22" t="str">
        <f t="array" ref="W471">IF(A471="","",IFERROR(INDEX(PARAMETROS!$J$2:$J700,MATCH(H471,PARAMETROS!$E$2:$E700,0)),""))</f>
        <v/>
      </c>
      <c r="X471" s="23" t="str">
        <f t="shared" si="1"/>
        <v/>
      </c>
    </row>
    <row r="472" spans="1:24">
      <c r="A472" s="12"/>
      <c r="B472" s="12"/>
      <c r="C472" s="12"/>
      <c r="D472" s="12"/>
      <c r="E472" s="12"/>
      <c r="F472" s="12"/>
      <c r="G472" s="12"/>
      <c r="H472" s="12"/>
      <c r="I472" s="12"/>
      <c r="J472" s="14"/>
      <c r="K472" s="12"/>
      <c r="L472" s="14"/>
      <c r="M472" s="12"/>
      <c r="N472" s="12"/>
      <c r="O472" s="14"/>
      <c r="P472" s="12"/>
      <c r="Q472" s="15"/>
      <c r="R472" s="15"/>
      <c r="S472" s="21"/>
      <c r="T472" s="12"/>
      <c r="U472" s="12"/>
      <c r="V472" s="22"/>
      <c r="W472" s="22" t="str">
        <f t="array" ref="W472">IF(A472="","",IFERROR(INDEX(PARAMETROS!$J$2:$J700,MATCH(H472,PARAMETROS!$E$2:$E700,0)),""))</f>
        <v/>
      </c>
      <c r="X472" s="23" t="str">
        <f t="shared" si="1"/>
        <v/>
      </c>
    </row>
    <row r="473" spans="1:24">
      <c r="A473" s="12"/>
      <c r="B473" s="12"/>
      <c r="C473" s="12"/>
      <c r="D473" s="12"/>
      <c r="E473" s="12"/>
      <c r="F473" s="12"/>
      <c r="G473" s="12"/>
      <c r="H473" s="12"/>
      <c r="I473" s="12"/>
      <c r="J473" s="14"/>
      <c r="K473" s="12"/>
      <c r="L473" s="14"/>
      <c r="M473" s="12"/>
      <c r="N473" s="12"/>
      <c r="O473" s="14"/>
      <c r="P473" s="12"/>
      <c r="Q473" s="15"/>
      <c r="R473" s="15"/>
      <c r="S473" s="21"/>
      <c r="T473" s="12"/>
      <c r="U473" s="12"/>
      <c r="V473" s="22"/>
      <c r="W473" s="22" t="str">
        <f t="array" ref="W473">IF(A473="","",IFERROR(INDEX(PARAMETROS!$J$2:$J700,MATCH(H473,PARAMETROS!$E$2:$E700,0)),""))</f>
        <v/>
      </c>
      <c r="X473" s="23" t="str">
        <f t="shared" si="1"/>
        <v/>
      </c>
    </row>
    <row r="474" spans="1:24">
      <c r="A474" s="12"/>
      <c r="B474" s="12"/>
      <c r="C474" s="12"/>
      <c r="D474" s="12"/>
      <c r="E474" s="12"/>
      <c r="F474" s="12"/>
      <c r="G474" s="12"/>
      <c r="H474" s="12"/>
      <c r="I474" s="12"/>
      <c r="J474" s="14"/>
      <c r="K474" s="12"/>
      <c r="L474" s="14"/>
      <c r="M474" s="12"/>
      <c r="N474" s="12"/>
      <c r="O474" s="14"/>
      <c r="P474" s="12"/>
      <c r="Q474" s="15"/>
      <c r="R474" s="15"/>
      <c r="S474" s="21"/>
      <c r="T474" s="12"/>
      <c r="U474" s="12"/>
      <c r="V474" s="22"/>
      <c r="W474" s="22" t="str">
        <f t="array" ref="W474">IF(A474="","",IFERROR(INDEX(PARAMETROS!$J$2:$J700,MATCH(H474,PARAMETROS!$E$2:$E700,0)),""))</f>
        <v/>
      </c>
      <c r="X474" s="23" t="str">
        <f t="shared" si="1"/>
        <v/>
      </c>
    </row>
    <row r="475" spans="1:24">
      <c r="A475" s="12"/>
      <c r="B475" s="12"/>
      <c r="C475" s="12"/>
      <c r="D475" s="12"/>
      <c r="E475" s="12"/>
      <c r="F475" s="12"/>
      <c r="G475" s="12"/>
      <c r="H475" s="12"/>
      <c r="I475" s="12"/>
      <c r="J475" s="14"/>
      <c r="K475" s="12"/>
      <c r="L475" s="14"/>
      <c r="M475" s="12"/>
      <c r="N475" s="12"/>
      <c r="O475" s="14"/>
      <c r="P475" s="12"/>
      <c r="Q475" s="15"/>
      <c r="R475" s="15"/>
      <c r="S475" s="21"/>
      <c r="T475" s="12"/>
      <c r="U475" s="12"/>
      <c r="V475" s="22"/>
      <c r="W475" s="22" t="str">
        <f t="array" ref="W475">IF(A475="","",IFERROR(INDEX(PARAMETROS!$J$2:$J700,MATCH(H475,PARAMETROS!$E$2:$E700,0)),""))</f>
        <v/>
      </c>
      <c r="X475" s="23" t="str">
        <f t="shared" si="1"/>
        <v/>
      </c>
    </row>
    <row r="476" spans="1:24">
      <c r="A476" s="12"/>
      <c r="B476" s="12"/>
      <c r="C476" s="12"/>
      <c r="D476" s="12"/>
      <c r="E476" s="12"/>
      <c r="F476" s="12"/>
      <c r="G476" s="12"/>
      <c r="H476" s="12"/>
      <c r="I476" s="12"/>
      <c r="J476" s="14"/>
      <c r="K476" s="12"/>
      <c r="L476" s="14"/>
      <c r="M476" s="12"/>
      <c r="N476" s="12"/>
      <c r="O476" s="14"/>
      <c r="P476" s="12"/>
      <c r="Q476" s="15"/>
      <c r="R476" s="15"/>
      <c r="S476" s="21"/>
      <c r="T476" s="12"/>
      <c r="U476" s="12"/>
      <c r="V476" s="22"/>
      <c r="W476" s="22" t="str">
        <f t="array" ref="W476">IF(A476="","",IFERROR(INDEX(PARAMETROS!$J$2:$J700,MATCH(H476,PARAMETROS!$E$2:$E700,0)),""))</f>
        <v/>
      </c>
      <c r="X476" s="23" t="str">
        <f t="shared" si="1"/>
        <v/>
      </c>
    </row>
    <row r="477" spans="1:24">
      <c r="A477" s="12"/>
      <c r="B477" s="12"/>
      <c r="C477" s="12"/>
      <c r="D477" s="12"/>
      <c r="E477" s="12"/>
      <c r="F477" s="12"/>
      <c r="G477" s="12"/>
      <c r="H477" s="12"/>
      <c r="I477" s="12"/>
      <c r="J477" s="14"/>
      <c r="K477" s="12"/>
      <c r="L477" s="14"/>
      <c r="M477" s="12"/>
      <c r="N477" s="12"/>
      <c r="O477" s="14"/>
      <c r="P477" s="12"/>
      <c r="Q477" s="15"/>
      <c r="R477" s="15"/>
      <c r="S477" s="21"/>
      <c r="T477" s="12"/>
      <c r="U477" s="12"/>
      <c r="V477" s="22"/>
      <c r="W477" s="22" t="str">
        <f t="array" ref="W477">IF(A477="","",IFERROR(INDEX(PARAMETROS!$J$2:$J700,MATCH(H477,PARAMETROS!$E$2:$E700,0)),""))</f>
        <v/>
      </c>
      <c r="X477" s="23" t="str">
        <f t="shared" si="1"/>
        <v/>
      </c>
    </row>
    <row r="478" spans="1:24">
      <c r="A478" s="12"/>
      <c r="B478" s="12"/>
      <c r="C478" s="12"/>
      <c r="D478" s="12"/>
      <c r="E478" s="12"/>
      <c r="F478" s="12"/>
      <c r="G478" s="12"/>
      <c r="H478" s="12"/>
      <c r="I478" s="12"/>
      <c r="J478" s="14"/>
      <c r="K478" s="12"/>
      <c r="L478" s="14"/>
      <c r="M478" s="12"/>
      <c r="N478" s="12"/>
      <c r="O478" s="14"/>
      <c r="P478" s="12"/>
      <c r="Q478" s="15"/>
      <c r="R478" s="15"/>
      <c r="S478" s="21"/>
      <c r="T478" s="12"/>
      <c r="U478" s="12"/>
      <c r="V478" s="22"/>
      <c r="W478" s="22" t="str">
        <f t="array" ref="W478">IF(A478="","",IFERROR(INDEX(PARAMETROS!$J$2:$J700,MATCH(H478,PARAMETROS!$E$2:$E700,0)),""))</f>
        <v/>
      </c>
      <c r="X478" s="23" t="str">
        <f t="shared" si="1"/>
        <v/>
      </c>
    </row>
    <row r="479" spans="1:24">
      <c r="A479" s="12"/>
      <c r="B479" s="12"/>
      <c r="C479" s="12"/>
      <c r="D479" s="12"/>
      <c r="E479" s="12"/>
      <c r="F479" s="12"/>
      <c r="G479" s="12"/>
      <c r="H479" s="12"/>
      <c r="I479" s="12"/>
      <c r="J479" s="14"/>
      <c r="K479" s="12"/>
      <c r="L479" s="14"/>
      <c r="M479" s="12"/>
      <c r="N479" s="12"/>
      <c r="O479" s="14"/>
      <c r="P479" s="12"/>
      <c r="Q479" s="15"/>
      <c r="R479" s="15"/>
      <c r="S479" s="21"/>
      <c r="T479" s="12"/>
      <c r="U479" s="12"/>
      <c r="V479" s="22"/>
      <c r="W479" s="22" t="str">
        <f t="array" ref="W479">IF(A479="","",IFERROR(INDEX(PARAMETROS!$J$2:$J700,MATCH(H479,PARAMETROS!$E$2:$E700,0)),""))</f>
        <v/>
      </c>
      <c r="X479" s="23" t="str">
        <f t="shared" si="1"/>
        <v/>
      </c>
    </row>
    <row r="480" spans="1:24">
      <c r="A480" s="12"/>
      <c r="B480" s="12"/>
      <c r="C480" s="12"/>
      <c r="D480" s="12"/>
      <c r="E480" s="12"/>
      <c r="F480" s="12"/>
      <c r="G480" s="12"/>
      <c r="H480" s="12"/>
      <c r="I480" s="12"/>
      <c r="J480" s="14"/>
      <c r="K480" s="12"/>
      <c r="L480" s="14"/>
      <c r="M480" s="12"/>
      <c r="N480" s="12"/>
      <c r="O480" s="14"/>
      <c r="P480" s="12"/>
      <c r="Q480" s="15"/>
      <c r="R480" s="15"/>
      <c r="S480" s="21"/>
      <c r="T480" s="12"/>
      <c r="U480" s="12"/>
      <c r="V480" s="22"/>
      <c r="W480" s="22" t="str">
        <f t="array" ref="W480">IF(A480="","",IFERROR(INDEX(PARAMETROS!$J$2:$J700,MATCH(H480,PARAMETROS!$E$2:$E700,0)),""))</f>
        <v/>
      </c>
      <c r="X480" s="23" t="str">
        <f t="shared" si="1"/>
        <v/>
      </c>
    </row>
    <row r="481" spans="1:24">
      <c r="A481" s="12"/>
      <c r="B481" s="12"/>
      <c r="C481" s="12"/>
      <c r="D481" s="12"/>
      <c r="E481" s="12"/>
      <c r="F481" s="12"/>
      <c r="G481" s="12"/>
      <c r="H481" s="12"/>
      <c r="I481" s="12"/>
      <c r="J481" s="14"/>
      <c r="K481" s="12"/>
      <c r="L481" s="14"/>
      <c r="M481" s="12"/>
      <c r="N481" s="12"/>
      <c r="O481" s="14"/>
      <c r="P481" s="12"/>
      <c r="Q481" s="15"/>
      <c r="R481" s="15"/>
      <c r="S481" s="21"/>
      <c r="T481" s="12"/>
      <c r="U481" s="12"/>
      <c r="V481" s="22"/>
      <c r="W481" s="22" t="str">
        <f t="array" ref="W481">IF(A481="","",IFERROR(INDEX(PARAMETROS!$J$2:$J700,MATCH(H481,PARAMETROS!$E$2:$E700,0)),""))</f>
        <v/>
      </c>
      <c r="X481" s="23" t="str">
        <f t="shared" si="1"/>
        <v/>
      </c>
    </row>
    <row r="482" spans="1:24">
      <c r="A482" s="12"/>
      <c r="B482" s="12"/>
      <c r="C482" s="12"/>
      <c r="D482" s="12"/>
      <c r="E482" s="12"/>
      <c r="F482" s="12"/>
      <c r="G482" s="12"/>
      <c r="H482" s="12"/>
      <c r="I482" s="12"/>
      <c r="J482" s="14"/>
      <c r="K482" s="12"/>
      <c r="L482" s="14"/>
      <c r="M482" s="12"/>
      <c r="N482" s="12"/>
      <c r="O482" s="14"/>
      <c r="P482" s="12"/>
      <c r="Q482" s="15"/>
      <c r="R482" s="15"/>
      <c r="S482" s="21"/>
      <c r="T482" s="12"/>
      <c r="U482" s="12"/>
      <c r="V482" s="22"/>
      <c r="W482" s="22" t="str">
        <f t="array" ref="W482">IF(A482="","",IFERROR(INDEX(PARAMETROS!$J$2:$J700,MATCH(H482,PARAMETROS!$E$2:$E700,0)),""))</f>
        <v/>
      </c>
      <c r="X482" s="23" t="str">
        <f t="shared" si="1"/>
        <v/>
      </c>
    </row>
    <row r="483" spans="1:24">
      <c r="A483" s="12"/>
      <c r="B483" s="12"/>
      <c r="C483" s="12"/>
      <c r="D483" s="12"/>
      <c r="E483" s="12"/>
      <c r="F483" s="12"/>
      <c r="G483" s="12"/>
      <c r="H483" s="12"/>
      <c r="I483" s="12"/>
      <c r="J483" s="14"/>
      <c r="K483" s="12"/>
      <c r="L483" s="14"/>
      <c r="M483" s="12"/>
      <c r="N483" s="12"/>
      <c r="O483" s="14"/>
      <c r="P483" s="12"/>
      <c r="Q483" s="15"/>
      <c r="R483" s="15"/>
      <c r="S483" s="21"/>
      <c r="T483" s="12"/>
      <c r="U483" s="12"/>
      <c r="V483" s="22"/>
      <c r="W483" s="22" t="str">
        <f t="array" ref="W483">IF(A483="","",IFERROR(INDEX(PARAMETROS!$J$2:$J700,MATCH(H483,PARAMETROS!$E$2:$E700,0)),""))</f>
        <v/>
      </c>
      <c r="X483" s="23" t="str">
        <f t="shared" si="1"/>
        <v/>
      </c>
    </row>
    <row r="484" spans="1:24">
      <c r="A484" s="12"/>
      <c r="B484" s="12"/>
      <c r="C484" s="12"/>
      <c r="D484" s="12"/>
      <c r="E484" s="12"/>
      <c r="F484" s="12"/>
      <c r="G484" s="12"/>
      <c r="H484" s="12"/>
      <c r="I484" s="12"/>
      <c r="J484" s="14"/>
      <c r="K484" s="12"/>
      <c r="L484" s="14"/>
      <c r="M484" s="12"/>
      <c r="N484" s="12"/>
      <c r="O484" s="14"/>
      <c r="P484" s="12"/>
      <c r="Q484" s="15"/>
      <c r="R484" s="15"/>
      <c r="S484" s="21"/>
      <c r="T484" s="12"/>
      <c r="U484" s="12"/>
      <c r="V484" s="22"/>
      <c r="W484" s="22" t="str">
        <f t="array" ref="W484">IF(A484="","",IFERROR(INDEX(PARAMETROS!$J$2:$J700,MATCH(H484,PARAMETROS!$E$2:$E700,0)),""))</f>
        <v/>
      </c>
      <c r="X484" s="23" t="str">
        <f t="shared" si="1"/>
        <v/>
      </c>
    </row>
    <row r="485" spans="1:24">
      <c r="A485" s="12"/>
      <c r="B485" s="12"/>
      <c r="C485" s="12"/>
      <c r="D485" s="12"/>
      <c r="E485" s="12"/>
      <c r="F485" s="12"/>
      <c r="G485" s="12"/>
      <c r="H485" s="12"/>
      <c r="I485" s="12"/>
      <c r="J485" s="14"/>
      <c r="K485" s="12"/>
      <c r="L485" s="14"/>
      <c r="M485" s="12"/>
      <c r="N485" s="12"/>
      <c r="O485" s="14"/>
      <c r="P485" s="12"/>
      <c r="Q485" s="15"/>
      <c r="R485" s="15"/>
      <c r="S485" s="21"/>
      <c r="T485" s="12"/>
      <c r="U485" s="12"/>
      <c r="V485" s="22"/>
      <c r="W485" s="22" t="str">
        <f t="array" ref="W485">IF(A485="","",IFERROR(INDEX(PARAMETROS!$J$2:$J700,MATCH(H485,PARAMETROS!$E$2:$E700,0)),""))</f>
        <v/>
      </c>
      <c r="X485" s="23" t="str">
        <f t="shared" si="1"/>
        <v/>
      </c>
    </row>
    <row r="486" spans="1:24">
      <c r="A486" s="12"/>
      <c r="B486" s="12"/>
      <c r="C486" s="12"/>
      <c r="D486" s="12"/>
      <c r="E486" s="12"/>
      <c r="F486" s="12"/>
      <c r="G486" s="12"/>
      <c r="H486" s="12"/>
      <c r="I486" s="12"/>
      <c r="J486" s="14"/>
      <c r="K486" s="12"/>
      <c r="L486" s="14"/>
      <c r="M486" s="12"/>
      <c r="N486" s="12"/>
      <c r="O486" s="14"/>
      <c r="P486" s="12"/>
      <c r="Q486" s="15"/>
      <c r="R486" s="15"/>
      <c r="S486" s="21"/>
      <c r="T486" s="12"/>
      <c r="U486" s="12"/>
      <c r="V486" s="22"/>
      <c r="W486" s="22" t="str">
        <f t="array" ref="W486">IF(A486="","",IFERROR(INDEX(PARAMETROS!$J$2:$J700,MATCH(H486,PARAMETROS!$E$2:$E700,0)),""))</f>
        <v/>
      </c>
      <c r="X486" s="23" t="str">
        <f t="shared" si="1"/>
        <v/>
      </c>
    </row>
    <row r="487" spans="1:24">
      <c r="A487" s="12"/>
      <c r="B487" s="12"/>
      <c r="C487" s="12"/>
      <c r="D487" s="12"/>
      <c r="E487" s="12"/>
      <c r="F487" s="12"/>
      <c r="G487" s="12"/>
      <c r="H487" s="12"/>
      <c r="I487" s="12"/>
      <c r="J487" s="14"/>
      <c r="K487" s="12"/>
      <c r="L487" s="14"/>
      <c r="M487" s="12"/>
      <c r="N487" s="12"/>
      <c r="O487" s="14"/>
      <c r="P487" s="12"/>
      <c r="Q487" s="15"/>
      <c r="R487" s="15"/>
      <c r="S487" s="21"/>
      <c r="T487" s="12"/>
      <c r="U487" s="12"/>
      <c r="V487" s="22"/>
      <c r="W487" s="22" t="str">
        <f t="array" ref="W487">IF(A487="","",IFERROR(INDEX(PARAMETROS!$J$2:$J700,MATCH(H487,PARAMETROS!$E$2:$E700,0)),""))</f>
        <v/>
      </c>
      <c r="X487" s="23" t="str">
        <f t="shared" si="1"/>
        <v/>
      </c>
    </row>
    <row r="488" spans="1:24">
      <c r="A488" s="12"/>
      <c r="B488" s="12"/>
      <c r="C488" s="12"/>
      <c r="D488" s="12"/>
      <c r="E488" s="12"/>
      <c r="F488" s="12"/>
      <c r="G488" s="12"/>
      <c r="H488" s="12"/>
      <c r="I488" s="12"/>
      <c r="J488" s="14"/>
      <c r="K488" s="12"/>
      <c r="L488" s="14"/>
      <c r="M488" s="12"/>
      <c r="N488" s="12"/>
      <c r="O488" s="14"/>
      <c r="P488" s="12"/>
      <c r="Q488" s="15"/>
      <c r="R488" s="15"/>
      <c r="S488" s="21"/>
      <c r="T488" s="12"/>
      <c r="U488" s="12"/>
      <c r="V488" s="22"/>
      <c r="W488" s="22" t="str">
        <f t="array" ref="W488">IF(A488="","",IFERROR(INDEX(PARAMETROS!$J$2:$J700,MATCH(H488,PARAMETROS!$E$2:$E700,0)),""))</f>
        <v/>
      </c>
      <c r="X488" s="23" t="str">
        <f t="shared" si="1"/>
        <v/>
      </c>
    </row>
    <row r="489" spans="1:24">
      <c r="A489" s="12"/>
      <c r="B489" s="12"/>
      <c r="C489" s="12"/>
      <c r="D489" s="12"/>
      <c r="E489" s="12"/>
      <c r="F489" s="12"/>
      <c r="G489" s="12"/>
      <c r="H489" s="12"/>
      <c r="I489" s="12"/>
      <c r="J489" s="14"/>
      <c r="K489" s="12"/>
      <c r="L489" s="14"/>
      <c r="M489" s="12"/>
      <c r="N489" s="12"/>
      <c r="O489" s="14"/>
      <c r="P489" s="12"/>
      <c r="Q489" s="15"/>
      <c r="R489" s="15"/>
      <c r="S489" s="21"/>
      <c r="T489" s="12"/>
      <c r="U489" s="12"/>
      <c r="V489" s="22"/>
      <c r="W489" s="22" t="str">
        <f t="array" ref="W489">IF(A489="","",IFERROR(INDEX(PARAMETROS!$J$2:$J700,MATCH(H489,PARAMETROS!$E$2:$E700,0)),""))</f>
        <v/>
      </c>
      <c r="X489" s="23" t="str">
        <f t="shared" si="1"/>
        <v/>
      </c>
    </row>
    <row r="490" spans="1:24">
      <c r="A490" s="12"/>
      <c r="B490" s="12"/>
      <c r="C490" s="12"/>
      <c r="D490" s="12"/>
      <c r="E490" s="12"/>
      <c r="F490" s="12"/>
      <c r="G490" s="12"/>
      <c r="H490" s="12"/>
      <c r="I490" s="12"/>
      <c r="J490" s="14"/>
      <c r="K490" s="12"/>
      <c r="L490" s="14"/>
      <c r="M490" s="12"/>
      <c r="N490" s="12"/>
      <c r="O490" s="14"/>
      <c r="P490" s="12"/>
      <c r="Q490" s="15"/>
      <c r="R490" s="15"/>
      <c r="S490" s="21"/>
      <c r="T490" s="12"/>
      <c r="U490" s="12"/>
      <c r="V490" s="22"/>
      <c r="W490" s="22" t="str">
        <f t="array" ref="W490">IF(A490="","",IFERROR(INDEX(PARAMETROS!$J$2:$J700,MATCH(H490,PARAMETROS!$E$2:$E700,0)),""))</f>
        <v/>
      </c>
      <c r="X490" s="23" t="str">
        <f t="shared" si="1"/>
        <v/>
      </c>
    </row>
    <row r="491" spans="1:24">
      <c r="A491" s="12"/>
      <c r="B491" s="12"/>
      <c r="C491" s="12"/>
      <c r="D491" s="12"/>
      <c r="E491" s="12"/>
      <c r="F491" s="12"/>
      <c r="G491" s="12"/>
      <c r="H491" s="12"/>
      <c r="I491" s="12"/>
      <c r="J491" s="14"/>
      <c r="K491" s="12"/>
      <c r="L491" s="14"/>
      <c r="M491" s="12"/>
      <c r="N491" s="12"/>
      <c r="O491" s="14"/>
      <c r="P491" s="12"/>
      <c r="Q491" s="15"/>
      <c r="R491" s="15"/>
      <c r="S491" s="21"/>
      <c r="T491" s="12"/>
      <c r="U491" s="12"/>
      <c r="V491" s="22"/>
      <c r="W491" s="22" t="str">
        <f t="array" ref="W491">IF(A491="","",IFERROR(INDEX(PARAMETROS!$J$2:$J700,MATCH(H491,PARAMETROS!$E$2:$E700,0)),""))</f>
        <v/>
      </c>
      <c r="X491" s="23" t="str">
        <f t="shared" si="1"/>
        <v/>
      </c>
    </row>
    <row r="492" spans="1:24">
      <c r="A492" s="12"/>
      <c r="B492" s="12"/>
      <c r="C492" s="12"/>
      <c r="D492" s="12"/>
      <c r="E492" s="12"/>
      <c r="F492" s="12"/>
      <c r="G492" s="12"/>
      <c r="H492" s="12"/>
      <c r="I492" s="12"/>
      <c r="J492" s="14"/>
      <c r="K492" s="12"/>
      <c r="L492" s="14"/>
      <c r="M492" s="12"/>
      <c r="N492" s="12"/>
      <c r="O492" s="14"/>
      <c r="P492" s="12"/>
      <c r="Q492" s="15"/>
      <c r="R492" s="15"/>
      <c r="S492" s="21"/>
      <c r="T492" s="12"/>
      <c r="U492" s="12"/>
      <c r="V492" s="22"/>
      <c r="W492" s="22" t="str">
        <f t="array" ref="W492">IF(A492="","",IFERROR(INDEX(PARAMETROS!$J$2:$J700,MATCH(H492,PARAMETROS!$E$2:$E700,0)),""))</f>
        <v/>
      </c>
      <c r="X492" s="23" t="str">
        <f t="shared" si="1"/>
        <v/>
      </c>
    </row>
    <row r="493" spans="1:24">
      <c r="A493" s="12"/>
      <c r="B493" s="12"/>
      <c r="C493" s="12"/>
      <c r="D493" s="12"/>
      <c r="E493" s="12"/>
      <c r="F493" s="12"/>
      <c r="G493" s="12"/>
      <c r="H493" s="12"/>
      <c r="I493" s="12"/>
      <c r="J493" s="14"/>
      <c r="K493" s="12"/>
      <c r="L493" s="14"/>
      <c r="M493" s="12"/>
      <c r="N493" s="12"/>
      <c r="O493" s="14"/>
      <c r="P493" s="12"/>
      <c r="Q493" s="15"/>
      <c r="R493" s="15"/>
      <c r="S493" s="21"/>
      <c r="T493" s="12"/>
      <c r="U493" s="12"/>
      <c r="V493" s="22"/>
      <c r="W493" s="22" t="str">
        <f t="array" ref="W493">IF(A493="","",IFERROR(INDEX(PARAMETROS!$J$2:$J700,MATCH(H493,PARAMETROS!$E$2:$E700,0)),""))</f>
        <v/>
      </c>
      <c r="X493" s="23" t="str">
        <f t="shared" si="1"/>
        <v/>
      </c>
    </row>
    <row r="494" spans="1:24">
      <c r="A494" s="12"/>
      <c r="B494" s="12"/>
      <c r="C494" s="12"/>
      <c r="D494" s="12"/>
      <c r="E494" s="12"/>
      <c r="F494" s="12"/>
      <c r="G494" s="12"/>
      <c r="H494" s="12"/>
      <c r="I494" s="12"/>
      <c r="J494" s="14"/>
      <c r="K494" s="12"/>
      <c r="L494" s="14"/>
      <c r="M494" s="12"/>
      <c r="N494" s="12"/>
      <c r="O494" s="14"/>
      <c r="P494" s="12"/>
      <c r="Q494" s="15"/>
      <c r="R494" s="15"/>
      <c r="S494" s="21"/>
      <c r="T494" s="12"/>
      <c r="U494" s="12"/>
      <c r="V494" s="22"/>
      <c r="W494" s="22" t="str">
        <f t="array" ref="W494">IF(A494="","",IFERROR(INDEX(PARAMETROS!$J$2:$J700,MATCH(H494,PARAMETROS!$E$2:$E700,0)),""))</f>
        <v/>
      </c>
      <c r="X494" s="23" t="str">
        <f t="shared" si="1"/>
        <v/>
      </c>
    </row>
    <row r="495" spans="1:24">
      <c r="A495" s="12"/>
      <c r="B495" s="12"/>
      <c r="C495" s="12"/>
      <c r="D495" s="12"/>
      <c r="E495" s="12"/>
      <c r="F495" s="12"/>
      <c r="G495" s="12"/>
      <c r="H495" s="12"/>
      <c r="I495" s="12"/>
      <c r="J495" s="14"/>
      <c r="K495" s="12"/>
      <c r="L495" s="14"/>
      <c r="M495" s="12"/>
      <c r="N495" s="12"/>
      <c r="O495" s="14"/>
      <c r="P495" s="12"/>
      <c r="Q495" s="15"/>
      <c r="R495" s="15"/>
      <c r="S495" s="21"/>
      <c r="T495" s="12"/>
      <c r="U495" s="12"/>
      <c r="V495" s="22"/>
      <c r="W495" s="22" t="str">
        <f t="array" ref="W495">IF(A495="","",IFERROR(INDEX(PARAMETROS!$J$2:$J700,MATCH(H495,PARAMETROS!$E$2:$E700,0)),""))</f>
        <v/>
      </c>
      <c r="X495" s="23" t="str">
        <f t="shared" si="1"/>
        <v/>
      </c>
    </row>
    <row r="496" spans="1:24">
      <c r="A496" s="12"/>
      <c r="B496" s="12"/>
      <c r="C496" s="12"/>
      <c r="D496" s="12"/>
      <c r="E496" s="12"/>
      <c r="F496" s="12"/>
      <c r="G496" s="12"/>
      <c r="H496" s="12"/>
      <c r="I496" s="12"/>
      <c r="J496" s="14"/>
      <c r="K496" s="12"/>
      <c r="L496" s="14"/>
      <c r="M496" s="12"/>
      <c r="N496" s="12"/>
      <c r="O496" s="14"/>
      <c r="P496" s="12"/>
      <c r="Q496" s="15"/>
      <c r="R496" s="15"/>
      <c r="S496" s="21"/>
      <c r="T496" s="12"/>
      <c r="U496" s="12"/>
      <c r="V496" s="22"/>
      <c r="W496" s="22" t="str">
        <f t="array" ref="W496">IF(A496="","",IFERROR(INDEX(PARAMETROS!$J$2:$J700,MATCH(H496,PARAMETROS!$E$2:$E700,0)),""))</f>
        <v/>
      </c>
      <c r="X496" s="23" t="str">
        <f t="shared" si="1"/>
        <v/>
      </c>
    </row>
    <row r="497" spans="1:24">
      <c r="A497" s="12"/>
      <c r="B497" s="12"/>
      <c r="C497" s="12"/>
      <c r="D497" s="12"/>
      <c r="E497" s="12"/>
      <c r="F497" s="12"/>
      <c r="G497" s="12"/>
      <c r="H497" s="12"/>
      <c r="I497" s="12"/>
      <c r="J497" s="14"/>
      <c r="K497" s="12"/>
      <c r="L497" s="14"/>
      <c r="M497" s="12"/>
      <c r="N497" s="12"/>
      <c r="O497" s="14"/>
      <c r="P497" s="12"/>
      <c r="Q497" s="15"/>
      <c r="R497" s="15"/>
      <c r="S497" s="21"/>
      <c r="T497" s="12"/>
      <c r="U497" s="12"/>
      <c r="V497" s="22"/>
      <c r="W497" s="22" t="str">
        <f t="array" ref="W497">IF(A497="","",IFERROR(INDEX(PARAMETROS!$J$2:$J700,MATCH(H497,PARAMETROS!$E$2:$E700,0)),""))</f>
        <v/>
      </c>
      <c r="X497" s="23" t="str">
        <f t="shared" si="1"/>
        <v/>
      </c>
    </row>
    <row r="498" spans="1:24">
      <c r="A498" s="12"/>
      <c r="B498" s="12"/>
      <c r="C498" s="12"/>
      <c r="D498" s="12"/>
      <c r="E498" s="12"/>
      <c r="F498" s="12"/>
      <c r="G498" s="12"/>
      <c r="H498" s="12"/>
      <c r="I498" s="12"/>
      <c r="J498" s="14"/>
      <c r="K498" s="12"/>
      <c r="L498" s="14"/>
      <c r="M498" s="12"/>
      <c r="N498" s="12"/>
      <c r="O498" s="14"/>
      <c r="P498" s="12"/>
      <c r="Q498" s="15"/>
      <c r="R498" s="15"/>
      <c r="S498" s="21"/>
      <c r="T498" s="12"/>
      <c r="U498" s="12"/>
      <c r="V498" s="22"/>
      <c r="W498" s="22" t="str">
        <f t="array" ref="W498">IF(A498="","",IFERROR(INDEX(PARAMETROS!$J$2:$J700,MATCH(H498,PARAMETROS!$E$2:$E700,0)),""))</f>
        <v/>
      </c>
      <c r="X498" s="23" t="str">
        <f t="shared" si="1"/>
        <v/>
      </c>
    </row>
    <row r="499" spans="1:24">
      <c r="A499" s="12"/>
      <c r="B499" s="12"/>
      <c r="C499" s="12"/>
      <c r="D499" s="12"/>
      <c r="E499" s="12"/>
      <c r="F499" s="12"/>
      <c r="G499" s="12"/>
      <c r="H499" s="12"/>
      <c r="I499" s="12"/>
      <c r="J499" s="14"/>
      <c r="K499" s="12"/>
      <c r="L499" s="14"/>
      <c r="M499" s="12"/>
      <c r="N499" s="12"/>
      <c r="O499" s="14"/>
      <c r="P499" s="12"/>
      <c r="Q499" s="15"/>
      <c r="R499" s="15"/>
      <c r="S499" s="21"/>
      <c r="T499" s="12"/>
      <c r="U499" s="12"/>
      <c r="V499" s="22"/>
      <c r="W499" s="22" t="str">
        <f t="array" ref="W499">IF(A499="","",IFERROR(INDEX(PARAMETROS!$J$2:$J700,MATCH(H499,PARAMETROS!$E$2:$E700,0)),""))</f>
        <v/>
      </c>
      <c r="X499" s="23" t="str">
        <f t="shared" si="1"/>
        <v/>
      </c>
    </row>
    <row r="500" spans="1:24">
      <c r="A500" s="12"/>
      <c r="B500" s="12"/>
      <c r="C500" s="12"/>
      <c r="D500" s="12"/>
      <c r="E500" s="12"/>
      <c r="F500" s="12"/>
      <c r="G500" s="12"/>
      <c r="H500" s="12"/>
      <c r="I500" s="12"/>
      <c r="J500" s="14"/>
      <c r="K500" s="12"/>
      <c r="L500" s="14"/>
      <c r="M500" s="12"/>
      <c r="N500" s="12"/>
      <c r="O500" s="14"/>
      <c r="P500" s="12"/>
      <c r="Q500" s="15"/>
      <c r="R500" s="15"/>
      <c r="S500" s="21"/>
      <c r="T500" s="12"/>
      <c r="U500" s="12"/>
      <c r="V500" s="22"/>
      <c r="W500" s="22" t="str">
        <f t="array" ref="W500">IF(A500="","",IFERROR(INDEX(PARAMETROS!$J$2:$J700,MATCH(H500,PARAMETROS!$E$2:$E700,0)),""))</f>
        <v/>
      </c>
      <c r="X500" s="23" t="str">
        <f t="shared" si="1"/>
        <v/>
      </c>
    </row>
    <row r="501" spans="1:24">
      <c r="A501" s="12"/>
      <c r="B501" s="12"/>
      <c r="C501" s="12"/>
      <c r="D501" s="12"/>
      <c r="E501" s="12"/>
      <c r="F501" s="12"/>
      <c r="G501" s="12"/>
      <c r="H501" s="12"/>
      <c r="I501" s="12"/>
      <c r="J501" s="14"/>
      <c r="K501" s="12"/>
      <c r="L501" s="14"/>
      <c r="M501" s="12"/>
      <c r="N501" s="12"/>
      <c r="O501" s="14"/>
      <c r="P501" s="12"/>
      <c r="Q501" s="15"/>
      <c r="R501" s="15"/>
      <c r="S501" s="21"/>
      <c r="T501" s="12"/>
      <c r="U501" s="12"/>
      <c r="V501" s="22"/>
      <c r="W501" s="22" t="str">
        <f t="array" ref="W501">IF(A501="","",IFERROR(INDEX(PARAMETROS!$J$2:$J700,MATCH(H501,PARAMETROS!$E$2:$E700,0)),""))</f>
        <v/>
      </c>
      <c r="X501" s="23" t="str">
        <f t="shared" si="1"/>
        <v/>
      </c>
    </row>
    <row r="502" spans="1:24">
      <c r="A502" s="12"/>
      <c r="B502" s="12"/>
      <c r="C502" s="12"/>
      <c r="D502" s="12"/>
      <c r="E502" s="12"/>
      <c r="F502" s="12"/>
      <c r="G502" s="12"/>
      <c r="H502" s="12"/>
      <c r="I502" s="12"/>
      <c r="J502" s="14"/>
      <c r="K502" s="12"/>
      <c r="L502" s="14"/>
      <c r="M502" s="12"/>
      <c r="N502" s="12"/>
      <c r="O502" s="14"/>
      <c r="P502" s="12"/>
      <c r="Q502" s="15"/>
      <c r="R502" s="15"/>
      <c r="S502" s="21"/>
      <c r="T502" s="12"/>
      <c r="U502" s="12"/>
      <c r="V502" s="22"/>
      <c r="W502" s="22" t="str">
        <f t="array" ref="W502">IF(A502="","",IFERROR(INDEX(PARAMETROS!$J$2:$J700,MATCH(H502,PARAMETROS!$E$2:$E700,0)),""))</f>
        <v/>
      </c>
      <c r="X502" s="23" t="str">
        <f t="shared" si="1"/>
        <v/>
      </c>
    </row>
    <row r="503" spans="1:24">
      <c r="A503" s="12"/>
      <c r="B503" s="12"/>
      <c r="C503" s="12"/>
      <c r="D503" s="12"/>
      <c r="E503" s="12"/>
      <c r="F503" s="12"/>
      <c r="G503" s="12"/>
      <c r="H503" s="12"/>
      <c r="I503" s="12"/>
      <c r="J503" s="14"/>
      <c r="K503" s="12"/>
      <c r="L503" s="14"/>
      <c r="M503" s="12"/>
      <c r="N503" s="12"/>
      <c r="O503" s="14"/>
      <c r="P503" s="12"/>
      <c r="Q503" s="15"/>
      <c r="R503" s="15"/>
      <c r="S503" s="21"/>
      <c r="T503" s="12"/>
      <c r="U503" s="12"/>
      <c r="V503" s="22"/>
      <c r="W503" s="22" t="str">
        <f t="array" ref="W503">IF(A503="","",IFERROR(INDEX(PARAMETROS!$J$2:$J700,MATCH(H503,PARAMETROS!$E$2:$E700,0)),""))</f>
        <v/>
      </c>
      <c r="X503" s="23" t="str">
        <f t="shared" si="1"/>
        <v/>
      </c>
    </row>
    <row r="504" spans="1:24">
      <c r="A504" s="12"/>
      <c r="B504" s="12"/>
      <c r="C504" s="12"/>
      <c r="D504" s="12"/>
      <c r="E504" s="12"/>
      <c r="F504" s="12"/>
      <c r="G504" s="12"/>
      <c r="H504" s="12"/>
      <c r="I504" s="12"/>
      <c r="J504" s="14"/>
      <c r="K504" s="12"/>
      <c r="L504" s="14"/>
      <c r="M504" s="12"/>
      <c r="N504" s="12"/>
      <c r="O504" s="14"/>
      <c r="P504" s="12"/>
      <c r="Q504" s="15"/>
      <c r="R504" s="15"/>
      <c r="S504" s="21"/>
      <c r="T504" s="12"/>
      <c r="U504" s="12"/>
      <c r="V504" s="22"/>
      <c r="W504" s="22" t="str">
        <f t="array" ref="W504">IF(A504="","",IFERROR(INDEX(PARAMETROS!$J$2:$J700,MATCH(H504,PARAMETROS!$E$2:$E700,0)),""))</f>
        <v/>
      </c>
      <c r="X504" s="23" t="str">
        <f t="shared" si="1"/>
        <v/>
      </c>
    </row>
    <row r="505" spans="1:24">
      <c r="A505" s="12"/>
      <c r="B505" s="12"/>
      <c r="C505" s="12"/>
      <c r="D505" s="12"/>
      <c r="E505" s="12"/>
      <c r="F505" s="12"/>
      <c r="G505" s="12"/>
      <c r="H505" s="12"/>
      <c r="I505" s="12"/>
      <c r="J505" s="14"/>
      <c r="K505" s="12"/>
      <c r="L505" s="14"/>
      <c r="M505" s="12"/>
      <c r="N505" s="12"/>
      <c r="O505" s="14"/>
      <c r="P505" s="12"/>
      <c r="Q505" s="15"/>
      <c r="R505" s="15"/>
      <c r="S505" s="21"/>
      <c r="T505" s="12"/>
      <c r="U505" s="12"/>
      <c r="V505" s="22"/>
      <c r="W505" s="22" t="str">
        <f t="array" ref="W505">IF(A505="","",IFERROR(INDEX(PARAMETROS!$J$2:$J700,MATCH(H505,PARAMETROS!$E$2:$E700,0)),""))</f>
        <v/>
      </c>
      <c r="X505" s="23" t="str">
        <f t="shared" si="1"/>
        <v/>
      </c>
    </row>
    <row r="506" spans="1:24">
      <c r="A506" s="12"/>
      <c r="B506" s="12"/>
      <c r="C506" s="12"/>
      <c r="D506" s="12"/>
      <c r="E506" s="12"/>
      <c r="F506" s="12"/>
      <c r="G506" s="12"/>
      <c r="H506" s="12"/>
      <c r="I506" s="12"/>
      <c r="J506" s="14"/>
      <c r="K506" s="12"/>
      <c r="L506" s="14"/>
      <c r="M506" s="12"/>
      <c r="N506" s="12"/>
      <c r="O506" s="14"/>
      <c r="P506" s="12"/>
      <c r="Q506" s="15"/>
      <c r="R506" s="15"/>
      <c r="S506" s="21"/>
      <c r="T506" s="12"/>
      <c r="U506" s="12"/>
      <c r="V506" s="22"/>
      <c r="W506" s="22" t="str">
        <f t="array" ref="W506">IF(A506="","",IFERROR(INDEX(PARAMETROS!$J$2:$J700,MATCH(H506,PARAMETROS!$E$2:$E700,0)),""))</f>
        <v/>
      </c>
      <c r="X506" s="23" t="str">
        <f t="shared" si="1"/>
        <v/>
      </c>
    </row>
    <row r="507" spans="1:24">
      <c r="A507" s="12"/>
      <c r="B507" s="12"/>
      <c r="C507" s="12"/>
      <c r="D507" s="12"/>
      <c r="E507" s="12"/>
      <c r="F507" s="12"/>
      <c r="G507" s="12"/>
      <c r="H507" s="12"/>
      <c r="I507" s="12"/>
      <c r="J507" s="14"/>
      <c r="K507" s="12"/>
      <c r="L507" s="14"/>
      <c r="M507" s="12"/>
      <c r="N507" s="12"/>
      <c r="O507" s="14"/>
      <c r="P507" s="12"/>
      <c r="Q507" s="15"/>
      <c r="R507" s="15"/>
      <c r="S507" s="21"/>
      <c r="T507" s="12"/>
      <c r="U507" s="12"/>
      <c r="V507" s="22"/>
      <c r="W507" s="22" t="str">
        <f t="array" ref="W507">IF(A507="","",IFERROR(INDEX(PARAMETROS!$J$2:$J700,MATCH(H507,PARAMETROS!$E$2:$E700,0)),""))</f>
        <v/>
      </c>
      <c r="X507" s="23" t="str">
        <f t="shared" si="1"/>
        <v/>
      </c>
    </row>
    <row r="508" spans="1:24">
      <c r="A508" s="12"/>
      <c r="B508" s="12"/>
      <c r="C508" s="12"/>
      <c r="D508" s="12"/>
      <c r="E508" s="12"/>
      <c r="F508" s="12"/>
      <c r="G508" s="12"/>
      <c r="H508" s="12"/>
      <c r="I508" s="12"/>
      <c r="J508" s="14"/>
      <c r="K508" s="12"/>
      <c r="L508" s="14"/>
      <c r="M508" s="12"/>
      <c r="N508" s="12"/>
      <c r="O508" s="14"/>
      <c r="P508" s="12"/>
      <c r="Q508" s="15"/>
      <c r="R508" s="15"/>
      <c r="S508" s="21"/>
      <c r="T508" s="12"/>
      <c r="U508" s="12"/>
      <c r="V508" s="22"/>
      <c r="W508" s="22" t="str">
        <f t="array" ref="W508">IF(A508="","",IFERROR(INDEX(PARAMETROS!$J$2:$J700,MATCH(H508,PARAMETROS!$E$2:$E700,0)),""))</f>
        <v/>
      </c>
      <c r="X508" s="23" t="str">
        <f t="shared" si="1"/>
        <v/>
      </c>
    </row>
    <row r="509" spans="1:24">
      <c r="A509" s="12"/>
      <c r="B509" s="12"/>
      <c r="C509" s="12"/>
      <c r="D509" s="12"/>
      <c r="E509" s="12"/>
      <c r="F509" s="12"/>
      <c r="G509" s="12"/>
      <c r="H509" s="12"/>
      <c r="I509" s="12"/>
      <c r="J509" s="14"/>
      <c r="K509" s="12"/>
      <c r="L509" s="14"/>
      <c r="M509" s="12"/>
      <c r="N509" s="12"/>
      <c r="O509" s="14"/>
      <c r="P509" s="12"/>
      <c r="Q509" s="15"/>
      <c r="R509" s="15"/>
      <c r="S509" s="21"/>
      <c r="T509" s="12"/>
      <c r="U509" s="12"/>
      <c r="V509" s="22"/>
      <c r="W509" s="22" t="str">
        <f t="array" ref="W509">IF(A509="","",IFERROR(INDEX(PARAMETROS!$J$2:$J700,MATCH(H509,PARAMETROS!$E$2:$E700,0)),""))</f>
        <v/>
      </c>
      <c r="X509" s="23" t="str">
        <f t="shared" si="1"/>
        <v/>
      </c>
    </row>
    <row r="510" spans="1:24">
      <c r="A510" s="12"/>
      <c r="B510" s="12"/>
      <c r="C510" s="12"/>
      <c r="D510" s="12"/>
      <c r="E510" s="12"/>
      <c r="F510" s="12"/>
      <c r="G510" s="12"/>
      <c r="H510" s="12"/>
      <c r="I510" s="12"/>
      <c r="J510" s="14"/>
      <c r="K510" s="12"/>
      <c r="L510" s="14"/>
      <c r="M510" s="12"/>
      <c r="N510" s="12"/>
      <c r="O510" s="14"/>
      <c r="P510" s="12"/>
      <c r="Q510" s="15"/>
      <c r="R510" s="15"/>
      <c r="S510" s="21"/>
      <c r="T510" s="12"/>
      <c r="U510" s="12"/>
      <c r="V510" s="22"/>
      <c r="W510" s="22" t="str">
        <f t="array" ref="W510">IF(A510="","",IFERROR(INDEX(PARAMETROS!$J$2:$J700,MATCH(H510,PARAMETROS!$E$2:$E700,0)),""))</f>
        <v/>
      </c>
      <c r="X510" s="23" t="str">
        <f t="shared" si="1"/>
        <v/>
      </c>
    </row>
    <row r="511" spans="1:24">
      <c r="A511" s="12"/>
      <c r="B511" s="12"/>
      <c r="C511" s="12"/>
      <c r="D511" s="12"/>
      <c r="E511" s="12"/>
      <c r="F511" s="12"/>
      <c r="G511" s="12"/>
      <c r="H511" s="12"/>
      <c r="I511" s="12"/>
      <c r="J511" s="14"/>
      <c r="K511" s="12"/>
      <c r="L511" s="14"/>
      <c r="M511" s="12"/>
      <c r="N511" s="12"/>
      <c r="O511" s="14"/>
      <c r="P511" s="12"/>
      <c r="Q511" s="15"/>
      <c r="R511" s="15"/>
      <c r="S511" s="21"/>
      <c r="T511" s="12"/>
      <c r="U511" s="12"/>
      <c r="V511" s="22"/>
      <c r="W511" s="22" t="str">
        <f t="array" ref="W511">IF(A511="","",IFERROR(INDEX(PARAMETROS!$J$2:$J700,MATCH(H511,PARAMETROS!$E$2:$E700,0)),""))</f>
        <v/>
      </c>
      <c r="X511" s="23" t="str">
        <f t="shared" si="1"/>
        <v/>
      </c>
    </row>
    <row r="512" spans="1:24">
      <c r="A512" s="12"/>
      <c r="B512" s="12"/>
      <c r="C512" s="12"/>
      <c r="D512" s="12"/>
      <c r="E512" s="12"/>
      <c r="F512" s="12"/>
      <c r="G512" s="12"/>
      <c r="H512" s="12"/>
      <c r="I512" s="12"/>
      <c r="J512" s="14"/>
      <c r="K512" s="12"/>
      <c r="L512" s="14"/>
      <c r="M512" s="12"/>
      <c r="N512" s="12"/>
      <c r="O512" s="14"/>
      <c r="P512" s="12"/>
      <c r="Q512" s="15"/>
      <c r="R512" s="15"/>
      <c r="S512" s="21"/>
      <c r="T512" s="12"/>
      <c r="U512" s="12"/>
      <c r="V512" s="22"/>
      <c r="W512" s="22" t="str">
        <f t="array" ref="W512">IF(A512="","",IFERROR(INDEX(PARAMETROS!$J$2:$J700,MATCH(H512,PARAMETROS!$E$2:$E700,0)),""))</f>
        <v/>
      </c>
      <c r="X512" s="23" t="str">
        <f t="shared" ref="X512:X700" si="2">IF(A512="","",Q512/T512)</f>
        <v/>
      </c>
    </row>
    <row r="513" spans="1:24">
      <c r="A513" s="12"/>
      <c r="B513" s="12"/>
      <c r="C513" s="12"/>
      <c r="D513" s="12"/>
      <c r="E513" s="12"/>
      <c r="F513" s="12"/>
      <c r="G513" s="12"/>
      <c r="H513" s="12"/>
      <c r="I513" s="12"/>
      <c r="J513" s="14"/>
      <c r="K513" s="12"/>
      <c r="L513" s="14"/>
      <c r="M513" s="12"/>
      <c r="N513" s="12"/>
      <c r="O513" s="14"/>
      <c r="P513" s="12"/>
      <c r="Q513" s="15"/>
      <c r="R513" s="15"/>
      <c r="S513" s="21"/>
      <c r="T513" s="12"/>
      <c r="U513" s="12"/>
      <c r="V513" s="22"/>
      <c r="W513" s="22" t="str">
        <f t="array" ref="W513">IF(A513="","",IFERROR(INDEX(PARAMETROS!$J$2:$J700,MATCH(H513,PARAMETROS!$E$2:$E700,0)),""))</f>
        <v/>
      </c>
      <c r="X513" s="23" t="str">
        <f t="shared" si="2"/>
        <v/>
      </c>
    </row>
    <row r="514" spans="1:24">
      <c r="A514" s="12"/>
      <c r="B514" s="12"/>
      <c r="C514" s="12"/>
      <c r="D514" s="12"/>
      <c r="E514" s="12"/>
      <c r="F514" s="12"/>
      <c r="G514" s="12"/>
      <c r="H514" s="12"/>
      <c r="I514" s="12"/>
      <c r="J514" s="14"/>
      <c r="K514" s="12"/>
      <c r="L514" s="14"/>
      <c r="M514" s="12"/>
      <c r="N514" s="12"/>
      <c r="O514" s="14"/>
      <c r="P514" s="12"/>
      <c r="Q514" s="15"/>
      <c r="R514" s="15"/>
      <c r="S514" s="21"/>
      <c r="T514" s="12"/>
      <c r="U514" s="12"/>
      <c r="V514" s="22"/>
      <c r="W514" s="22" t="str">
        <f t="array" ref="W514">IF(A514="","",IFERROR(INDEX(PARAMETROS!$J$2:$J700,MATCH(H514,PARAMETROS!$E$2:$E700,0)),""))</f>
        <v/>
      </c>
      <c r="X514" s="23" t="str">
        <f t="shared" si="2"/>
        <v/>
      </c>
    </row>
    <row r="515" spans="1:24">
      <c r="A515" s="12"/>
      <c r="B515" s="12"/>
      <c r="C515" s="12"/>
      <c r="D515" s="12"/>
      <c r="E515" s="12"/>
      <c r="F515" s="12"/>
      <c r="G515" s="12"/>
      <c r="H515" s="12"/>
      <c r="I515" s="12"/>
      <c r="J515" s="14"/>
      <c r="K515" s="12"/>
      <c r="L515" s="14"/>
      <c r="M515" s="12"/>
      <c r="N515" s="12"/>
      <c r="O515" s="14"/>
      <c r="P515" s="12"/>
      <c r="Q515" s="15"/>
      <c r="R515" s="15"/>
      <c r="S515" s="21"/>
      <c r="T515" s="12"/>
      <c r="U515" s="12"/>
      <c r="V515" s="22"/>
      <c r="W515" s="22" t="str">
        <f t="array" ref="W515">IF(A515="","",IFERROR(INDEX(PARAMETROS!$J$2:$J700,MATCH(H515,PARAMETROS!$E$2:$E700,0)),""))</f>
        <v/>
      </c>
      <c r="X515" s="23" t="str">
        <f t="shared" si="2"/>
        <v/>
      </c>
    </row>
    <row r="516" spans="1:24">
      <c r="A516" s="12"/>
      <c r="B516" s="12"/>
      <c r="C516" s="12"/>
      <c r="D516" s="12"/>
      <c r="E516" s="12"/>
      <c r="F516" s="12"/>
      <c r="G516" s="12"/>
      <c r="H516" s="12"/>
      <c r="I516" s="12"/>
      <c r="J516" s="14"/>
      <c r="K516" s="12"/>
      <c r="L516" s="14"/>
      <c r="M516" s="12"/>
      <c r="N516" s="12"/>
      <c r="O516" s="14"/>
      <c r="P516" s="12"/>
      <c r="Q516" s="15"/>
      <c r="R516" s="15"/>
      <c r="S516" s="21"/>
      <c r="T516" s="12"/>
      <c r="U516" s="12"/>
      <c r="V516" s="22"/>
      <c r="W516" s="22" t="str">
        <f t="array" ref="W516">IF(A516="","",IFERROR(INDEX(PARAMETROS!$J$2:$J700,MATCH(H516,PARAMETROS!$E$2:$E700,0)),""))</f>
        <v/>
      </c>
      <c r="X516" s="23" t="str">
        <f t="shared" si="2"/>
        <v/>
      </c>
    </row>
    <row r="517" spans="1:24">
      <c r="A517" s="12"/>
      <c r="B517" s="12"/>
      <c r="C517" s="12"/>
      <c r="D517" s="12"/>
      <c r="E517" s="12"/>
      <c r="F517" s="12"/>
      <c r="G517" s="12"/>
      <c r="H517" s="12"/>
      <c r="I517" s="12"/>
      <c r="J517" s="14"/>
      <c r="K517" s="12"/>
      <c r="L517" s="14"/>
      <c r="M517" s="12"/>
      <c r="N517" s="12"/>
      <c r="O517" s="14"/>
      <c r="P517" s="12"/>
      <c r="Q517" s="15"/>
      <c r="R517" s="15"/>
      <c r="S517" s="21"/>
      <c r="T517" s="12"/>
      <c r="U517" s="12"/>
      <c r="V517" s="22"/>
      <c r="W517" s="22" t="str">
        <f t="array" ref="W517">IF(A517="","",IFERROR(INDEX(PARAMETROS!$J$2:$J700,MATCH(H517,PARAMETROS!$E$2:$E700,0)),""))</f>
        <v/>
      </c>
      <c r="X517" s="23" t="str">
        <f t="shared" si="2"/>
        <v/>
      </c>
    </row>
    <row r="518" spans="1:24">
      <c r="A518" s="12"/>
      <c r="B518" s="12"/>
      <c r="C518" s="12"/>
      <c r="D518" s="12"/>
      <c r="E518" s="12"/>
      <c r="F518" s="12"/>
      <c r="G518" s="12"/>
      <c r="H518" s="12"/>
      <c r="I518" s="12"/>
      <c r="J518" s="14"/>
      <c r="K518" s="12"/>
      <c r="L518" s="14"/>
      <c r="M518" s="12"/>
      <c r="N518" s="12"/>
      <c r="O518" s="14"/>
      <c r="P518" s="12"/>
      <c r="Q518" s="15"/>
      <c r="R518" s="15"/>
      <c r="S518" s="21"/>
      <c r="T518" s="12"/>
      <c r="U518" s="12"/>
      <c r="V518" s="22"/>
      <c r="W518" s="22" t="str">
        <f t="array" ref="W518">IF(A518="","",IFERROR(INDEX(PARAMETROS!$J$2:$J700,MATCH(H518,PARAMETROS!$E$2:$E700,0)),""))</f>
        <v/>
      </c>
      <c r="X518" s="23" t="str">
        <f t="shared" si="2"/>
        <v/>
      </c>
    </row>
    <row r="519" spans="1:24">
      <c r="A519" s="12"/>
      <c r="B519" s="12"/>
      <c r="C519" s="12"/>
      <c r="D519" s="12"/>
      <c r="E519" s="12"/>
      <c r="F519" s="12"/>
      <c r="G519" s="12"/>
      <c r="H519" s="12"/>
      <c r="I519" s="12"/>
      <c r="J519" s="14"/>
      <c r="K519" s="12"/>
      <c r="L519" s="14"/>
      <c r="M519" s="12"/>
      <c r="N519" s="12"/>
      <c r="O519" s="14"/>
      <c r="P519" s="12"/>
      <c r="Q519" s="15"/>
      <c r="R519" s="15"/>
      <c r="S519" s="21"/>
      <c r="T519" s="12"/>
      <c r="U519" s="12"/>
      <c r="V519" s="22"/>
      <c r="W519" s="22" t="str">
        <f t="array" ref="W519">IF(A519="","",IFERROR(INDEX(PARAMETROS!$J$2:$J700,MATCH(H519,PARAMETROS!$E$2:$E700,0)),""))</f>
        <v/>
      </c>
      <c r="X519" s="23" t="str">
        <f t="shared" si="2"/>
        <v/>
      </c>
    </row>
    <row r="520" spans="1:24">
      <c r="A520" s="12"/>
      <c r="B520" s="12"/>
      <c r="C520" s="12"/>
      <c r="D520" s="12"/>
      <c r="E520" s="12"/>
      <c r="F520" s="12"/>
      <c r="G520" s="12"/>
      <c r="H520" s="12"/>
      <c r="I520" s="12"/>
      <c r="J520" s="14"/>
      <c r="K520" s="12"/>
      <c r="L520" s="14"/>
      <c r="M520" s="12"/>
      <c r="N520" s="12"/>
      <c r="O520" s="14"/>
      <c r="P520" s="12"/>
      <c r="Q520" s="15"/>
      <c r="R520" s="15"/>
      <c r="S520" s="21"/>
      <c r="T520" s="12"/>
      <c r="U520" s="12"/>
      <c r="V520" s="22"/>
      <c r="W520" s="22" t="str">
        <f t="array" ref="W520">IF(A520="","",IFERROR(INDEX(PARAMETROS!$J$2:$J700,MATCH(H520,PARAMETROS!$E$2:$E700,0)),""))</f>
        <v/>
      </c>
      <c r="X520" s="23" t="str">
        <f t="shared" si="2"/>
        <v/>
      </c>
    </row>
    <row r="521" spans="1:24">
      <c r="A521" s="12"/>
      <c r="B521" s="12"/>
      <c r="C521" s="12"/>
      <c r="D521" s="12"/>
      <c r="E521" s="12"/>
      <c r="F521" s="12"/>
      <c r="G521" s="12"/>
      <c r="H521" s="12"/>
      <c r="I521" s="12"/>
      <c r="J521" s="14"/>
      <c r="K521" s="12"/>
      <c r="L521" s="14"/>
      <c r="M521" s="12"/>
      <c r="N521" s="12"/>
      <c r="O521" s="14"/>
      <c r="P521" s="12"/>
      <c r="Q521" s="15"/>
      <c r="R521" s="15"/>
      <c r="S521" s="21"/>
      <c r="T521" s="12"/>
      <c r="U521" s="12"/>
      <c r="V521" s="22"/>
      <c r="W521" s="22" t="str">
        <f t="array" ref="W521">IF(A521="","",IFERROR(INDEX(PARAMETROS!$J$2:$J700,MATCH(H521,PARAMETROS!$E$2:$E700,0)),""))</f>
        <v/>
      </c>
      <c r="X521" s="23" t="str">
        <f t="shared" si="2"/>
        <v/>
      </c>
    </row>
    <row r="522" spans="1:24">
      <c r="A522" s="12"/>
      <c r="B522" s="12"/>
      <c r="C522" s="12"/>
      <c r="D522" s="12"/>
      <c r="E522" s="12"/>
      <c r="F522" s="12"/>
      <c r="G522" s="12"/>
      <c r="H522" s="12"/>
      <c r="I522" s="12"/>
      <c r="J522" s="14"/>
      <c r="K522" s="12"/>
      <c r="L522" s="14"/>
      <c r="M522" s="12"/>
      <c r="N522" s="12"/>
      <c r="O522" s="14"/>
      <c r="P522" s="12"/>
      <c r="Q522" s="15"/>
      <c r="R522" s="15"/>
      <c r="S522" s="21"/>
      <c r="T522" s="12"/>
      <c r="U522" s="12"/>
      <c r="V522" s="22"/>
      <c r="W522" s="22" t="str">
        <f t="array" ref="W522">IF(A522="","",IFERROR(INDEX(PARAMETROS!$J$2:$J700,MATCH(H522,PARAMETROS!$E$2:$E700,0)),""))</f>
        <v/>
      </c>
      <c r="X522" s="23" t="str">
        <f t="shared" si="2"/>
        <v/>
      </c>
    </row>
    <row r="523" spans="1:24">
      <c r="A523" s="12"/>
      <c r="B523" s="12"/>
      <c r="C523" s="12"/>
      <c r="D523" s="12"/>
      <c r="E523" s="12"/>
      <c r="F523" s="12"/>
      <c r="G523" s="12"/>
      <c r="H523" s="12"/>
      <c r="I523" s="12"/>
      <c r="J523" s="14"/>
      <c r="K523" s="12"/>
      <c r="L523" s="14"/>
      <c r="M523" s="12"/>
      <c r="N523" s="12"/>
      <c r="O523" s="14"/>
      <c r="P523" s="12"/>
      <c r="Q523" s="15"/>
      <c r="R523" s="15"/>
      <c r="S523" s="21"/>
      <c r="T523" s="12"/>
      <c r="U523" s="12"/>
      <c r="V523" s="22"/>
      <c r="W523" s="22" t="str">
        <f t="array" ref="W523">IF(A523="","",IFERROR(INDEX(PARAMETROS!$J$2:$J700,MATCH(H523,PARAMETROS!$E$2:$E700,0)),""))</f>
        <v/>
      </c>
      <c r="X523" s="23" t="str">
        <f t="shared" si="2"/>
        <v/>
      </c>
    </row>
    <row r="524" spans="1:24">
      <c r="A524" s="12"/>
      <c r="B524" s="12"/>
      <c r="C524" s="12"/>
      <c r="D524" s="12"/>
      <c r="E524" s="12"/>
      <c r="F524" s="12"/>
      <c r="G524" s="12"/>
      <c r="H524" s="12"/>
      <c r="I524" s="12"/>
      <c r="J524" s="14"/>
      <c r="K524" s="12"/>
      <c r="L524" s="14"/>
      <c r="M524" s="12"/>
      <c r="N524" s="12"/>
      <c r="O524" s="14"/>
      <c r="P524" s="12"/>
      <c r="Q524" s="15"/>
      <c r="R524" s="15"/>
      <c r="S524" s="21"/>
      <c r="T524" s="12"/>
      <c r="U524" s="12"/>
      <c r="V524" s="22"/>
      <c r="W524" s="22" t="str">
        <f t="array" ref="W524">IF(A524="","",IFERROR(INDEX(PARAMETROS!$J$2:$J700,MATCH(H524,PARAMETROS!$E$2:$E700,0)),""))</f>
        <v/>
      </c>
      <c r="X524" s="23" t="str">
        <f t="shared" si="2"/>
        <v/>
      </c>
    </row>
    <row r="525" spans="1:24">
      <c r="A525" s="12"/>
      <c r="B525" s="12"/>
      <c r="C525" s="12"/>
      <c r="D525" s="12"/>
      <c r="E525" s="12"/>
      <c r="F525" s="12"/>
      <c r="G525" s="12"/>
      <c r="H525" s="12"/>
      <c r="I525" s="12"/>
      <c r="J525" s="14"/>
      <c r="K525" s="12"/>
      <c r="L525" s="14"/>
      <c r="M525" s="12"/>
      <c r="N525" s="12"/>
      <c r="O525" s="14"/>
      <c r="P525" s="12"/>
      <c r="Q525" s="15"/>
      <c r="R525" s="15"/>
      <c r="S525" s="21"/>
      <c r="T525" s="12"/>
      <c r="U525" s="12"/>
      <c r="V525" s="22"/>
      <c r="W525" s="22" t="str">
        <f t="array" ref="W525">IF(A525="","",IFERROR(INDEX(PARAMETROS!$J$2:$J700,MATCH(H525,PARAMETROS!$E$2:$E700,0)),""))</f>
        <v/>
      </c>
      <c r="X525" s="23" t="str">
        <f t="shared" si="2"/>
        <v/>
      </c>
    </row>
    <row r="526" spans="1:24">
      <c r="A526" s="12"/>
      <c r="B526" s="12"/>
      <c r="C526" s="12"/>
      <c r="D526" s="12"/>
      <c r="E526" s="12"/>
      <c r="F526" s="12"/>
      <c r="G526" s="12"/>
      <c r="H526" s="12"/>
      <c r="I526" s="12"/>
      <c r="J526" s="14"/>
      <c r="K526" s="12"/>
      <c r="L526" s="14"/>
      <c r="M526" s="12"/>
      <c r="N526" s="12"/>
      <c r="O526" s="14"/>
      <c r="P526" s="12"/>
      <c r="Q526" s="15"/>
      <c r="R526" s="15"/>
      <c r="S526" s="21"/>
      <c r="T526" s="12"/>
      <c r="U526" s="12"/>
      <c r="V526" s="22"/>
      <c r="W526" s="22" t="str">
        <f t="array" ref="W526">IF(A526="","",IFERROR(INDEX(PARAMETROS!$J$2:$J700,MATCH(H526,PARAMETROS!$E$2:$E700,0)),""))</f>
        <v/>
      </c>
      <c r="X526" s="23" t="str">
        <f t="shared" si="2"/>
        <v/>
      </c>
    </row>
    <row r="527" spans="1:24">
      <c r="A527" s="12"/>
      <c r="B527" s="12"/>
      <c r="C527" s="12"/>
      <c r="D527" s="12"/>
      <c r="E527" s="12"/>
      <c r="F527" s="12"/>
      <c r="G527" s="12"/>
      <c r="H527" s="12"/>
      <c r="I527" s="12"/>
      <c r="J527" s="14"/>
      <c r="K527" s="12"/>
      <c r="L527" s="14"/>
      <c r="M527" s="12"/>
      <c r="N527" s="12"/>
      <c r="O527" s="14"/>
      <c r="P527" s="12"/>
      <c r="Q527" s="15"/>
      <c r="R527" s="15"/>
      <c r="S527" s="21"/>
      <c r="T527" s="12"/>
      <c r="U527" s="12"/>
      <c r="V527" s="22"/>
      <c r="W527" s="22" t="str">
        <f t="array" ref="W527">IF(A527="","",IFERROR(INDEX(PARAMETROS!$J$2:$J700,MATCH(H527,PARAMETROS!$E$2:$E700,0)),""))</f>
        <v/>
      </c>
      <c r="X527" s="23" t="str">
        <f t="shared" si="2"/>
        <v/>
      </c>
    </row>
    <row r="528" spans="1:24">
      <c r="A528" s="12"/>
      <c r="B528" s="12"/>
      <c r="C528" s="12"/>
      <c r="D528" s="12"/>
      <c r="E528" s="12"/>
      <c r="F528" s="12"/>
      <c r="G528" s="12"/>
      <c r="H528" s="12"/>
      <c r="I528" s="12"/>
      <c r="J528" s="14"/>
      <c r="K528" s="12"/>
      <c r="L528" s="14"/>
      <c r="M528" s="12"/>
      <c r="N528" s="12"/>
      <c r="O528" s="14"/>
      <c r="P528" s="12"/>
      <c r="Q528" s="15"/>
      <c r="R528" s="15"/>
      <c r="S528" s="21"/>
      <c r="T528" s="12"/>
      <c r="U528" s="12"/>
      <c r="V528" s="22"/>
      <c r="W528" s="22" t="str">
        <f t="array" ref="W528">IF(A528="","",IFERROR(INDEX(PARAMETROS!$J$2:$J700,MATCH(H528,PARAMETROS!$E$2:$E700,0)),""))</f>
        <v/>
      </c>
      <c r="X528" s="23" t="str">
        <f t="shared" si="2"/>
        <v/>
      </c>
    </row>
    <row r="529" spans="1:24">
      <c r="A529" s="12"/>
      <c r="B529" s="12"/>
      <c r="C529" s="12"/>
      <c r="D529" s="12"/>
      <c r="E529" s="12"/>
      <c r="F529" s="12"/>
      <c r="G529" s="12"/>
      <c r="H529" s="12"/>
      <c r="I529" s="12"/>
      <c r="J529" s="14"/>
      <c r="K529" s="12"/>
      <c r="L529" s="14"/>
      <c r="M529" s="12"/>
      <c r="N529" s="12"/>
      <c r="O529" s="14"/>
      <c r="P529" s="12"/>
      <c r="Q529" s="15"/>
      <c r="R529" s="15"/>
      <c r="S529" s="21"/>
      <c r="T529" s="12"/>
      <c r="U529" s="12"/>
      <c r="V529" s="22"/>
      <c r="W529" s="22" t="str">
        <f t="array" ref="W529">IF(A529="","",IFERROR(INDEX(PARAMETROS!$J$2:$J700,MATCH(H529,PARAMETROS!$E$2:$E700,0)),""))</f>
        <v/>
      </c>
      <c r="X529" s="23" t="str">
        <f t="shared" si="2"/>
        <v/>
      </c>
    </row>
    <row r="530" spans="1:24">
      <c r="A530" s="12"/>
      <c r="B530" s="12"/>
      <c r="C530" s="12"/>
      <c r="D530" s="12"/>
      <c r="E530" s="12"/>
      <c r="F530" s="12"/>
      <c r="G530" s="12"/>
      <c r="H530" s="12"/>
      <c r="I530" s="12"/>
      <c r="J530" s="14"/>
      <c r="K530" s="12"/>
      <c r="L530" s="14"/>
      <c r="M530" s="12"/>
      <c r="N530" s="12"/>
      <c r="O530" s="14"/>
      <c r="P530" s="12"/>
      <c r="Q530" s="15"/>
      <c r="R530" s="15"/>
      <c r="S530" s="21"/>
      <c r="T530" s="12"/>
      <c r="U530" s="12"/>
      <c r="V530" s="22"/>
      <c r="W530" s="22" t="str">
        <f t="array" ref="W530">IF(A530="","",IFERROR(INDEX(PARAMETROS!$J$2:$J700,MATCH(H530,PARAMETROS!$E$2:$E700,0)),""))</f>
        <v/>
      </c>
      <c r="X530" s="23" t="str">
        <f t="shared" si="2"/>
        <v/>
      </c>
    </row>
    <row r="531" spans="1:24">
      <c r="A531" s="12"/>
      <c r="B531" s="12"/>
      <c r="C531" s="12"/>
      <c r="D531" s="12"/>
      <c r="E531" s="12"/>
      <c r="F531" s="12"/>
      <c r="G531" s="12"/>
      <c r="H531" s="12"/>
      <c r="I531" s="12"/>
      <c r="J531" s="14"/>
      <c r="K531" s="12"/>
      <c r="L531" s="14"/>
      <c r="M531" s="12"/>
      <c r="N531" s="12"/>
      <c r="O531" s="14"/>
      <c r="P531" s="12"/>
      <c r="Q531" s="15"/>
      <c r="R531" s="15"/>
      <c r="S531" s="21"/>
      <c r="T531" s="12"/>
      <c r="U531" s="12"/>
      <c r="V531" s="22"/>
      <c r="W531" s="22" t="str">
        <f t="array" ref="W531">IF(A531="","",IFERROR(INDEX(PARAMETROS!$J$2:$J700,MATCH(H531,PARAMETROS!$E$2:$E700,0)),""))</f>
        <v/>
      </c>
      <c r="X531" s="23" t="str">
        <f t="shared" si="2"/>
        <v/>
      </c>
    </row>
    <row r="532" spans="1:24">
      <c r="A532" s="12"/>
      <c r="B532" s="12"/>
      <c r="C532" s="12"/>
      <c r="D532" s="12"/>
      <c r="E532" s="12"/>
      <c r="F532" s="12"/>
      <c r="G532" s="12"/>
      <c r="H532" s="12"/>
      <c r="I532" s="12"/>
      <c r="J532" s="14"/>
      <c r="K532" s="12"/>
      <c r="L532" s="14"/>
      <c r="M532" s="12"/>
      <c r="N532" s="12"/>
      <c r="O532" s="14"/>
      <c r="P532" s="12"/>
      <c r="Q532" s="15"/>
      <c r="R532" s="15"/>
      <c r="S532" s="21"/>
      <c r="T532" s="12"/>
      <c r="U532" s="12"/>
      <c r="V532" s="22"/>
      <c r="W532" s="22" t="str">
        <f t="array" ref="W532">IF(A532="","",IFERROR(INDEX(PARAMETROS!$J$2:$J700,MATCH(H532,PARAMETROS!$E$2:$E700,0)),""))</f>
        <v/>
      </c>
      <c r="X532" s="23" t="str">
        <f t="shared" si="2"/>
        <v/>
      </c>
    </row>
    <row r="533" spans="1:24">
      <c r="A533" s="12"/>
      <c r="B533" s="12"/>
      <c r="C533" s="12"/>
      <c r="D533" s="12"/>
      <c r="E533" s="12"/>
      <c r="F533" s="12"/>
      <c r="G533" s="12"/>
      <c r="H533" s="12"/>
      <c r="I533" s="12"/>
      <c r="J533" s="14"/>
      <c r="K533" s="12"/>
      <c r="L533" s="14"/>
      <c r="M533" s="12"/>
      <c r="N533" s="12"/>
      <c r="O533" s="14"/>
      <c r="P533" s="12"/>
      <c r="Q533" s="15"/>
      <c r="R533" s="15"/>
      <c r="S533" s="21"/>
      <c r="T533" s="12"/>
      <c r="U533" s="12"/>
      <c r="V533" s="22"/>
      <c r="W533" s="22" t="str">
        <f t="array" ref="W533">IF(A533="","",IFERROR(INDEX(PARAMETROS!$J$2:$J700,MATCH(H533,PARAMETROS!$E$2:$E700,0)),""))</f>
        <v/>
      </c>
      <c r="X533" s="23" t="str">
        <f t="shared" si="2"/>
        <v/>
      </c>
    </row>
    <row r="534" spans="1:24">
      <c r="A534" s="12"/>
      <c r="B534" s="12"/>
      <c r="C534" s="12"/>
      <c r="D534" s="12"/>
      <c r="E534" s="12"/>
      <c r="F534" s="12"/>
      <c r="G534" s="12"/>
      <c r="H534" s="12"/>
      <c r="I534" s="12"/>
      <c r="J534" s="14"/>
      <c r="K534" s="12"/>
      <c r="L534" s="14"/>
      <c r="M534" s="12"/>
      <c r="N534" s="12"/>
      <c r="O534" s="14"/>
      <c r="P534" s="12"/>
      <c r="Q534" s="15"/>
      <c r="R534" s="15"/>
      <c r="S534" s="21"/>
      <c r="T534" s="12"/>
      <c r="U534" s="12"/>
      <c r="V534" s="22"/>
      <c r="W534" s="22" t="str">
        <f t="array" ref="W534">IF(A534="","",IFERROR(INDEX(PARAMETROS!$J$2:$J700,MATCH(H534,PARAMETROS!$E$2:$E700,0)),""))</f>
        <v/>
      </c>
      <c r="X534" s="23" t="str">
        <f t="shared" si="2"/>
        <v/>
      </c>
    </row>
    <row r="535" spans="1:24">
      <c r="A535" s="12"/>
      <c r="B535" s="12"/>
      <c r="C535" s="12"/>
      <c r="D535" s="12"/>
      <c r="E535" s="12"/>
      <c r="F535" s="12"/>
      <c r="G535" s="12"/>
      <c r="H535" s="12"/>
      <c r="I535" s="12"/>
      <c r="J535" s="14"/>
      <c r="K535" s="12"/>
      <c r="L535" s="14"/>
      <c r="M535" s="12"/>
      <c r="N535" s="12"/>
      <c r="O535" s="14"/>
      <c r="P535" s="12"/>
      <c r="Q535" s="15"/>
      <c r="R535" s="15"/>
      <c r="S535" s="21"/>
      <c r="T535" s="12"/>
      <c r="U535" s="12"/>
      <c r="V535" s="22"/>
      <c r="W535" s="22" t="str">
        <f t="array" ref="W535">IF(A535="","",IFERROR(INDEX(PARAMETROS!$J$2:$J700,MATCH(H535,PARAMETROS!$E$2:$E700,0)),""))</f>
        <v/>
      </c>
      <c r="X535" s="23" t="str">
        <f t="shared" si="2"/>
        <v/>
      </c>
    </row>
    <row r="536" spans="1:24">
      <c r="A536" s="12"/>
      <c r="B536" s="12"/>
      <c r="C536" s="12"/>
      <c r="D536" s="12"/>
      <c r="E536" s="12"/>
      <c r="F536" s="12"/>
      <c r="G536" s="12"/>
      <c r="H536" s="12"/>
      <c r="I536" s="12"/>
      <c r="J536" s="14"/>
      <c r="K536" s="12"/>
      <c r="L536" s="14"/>
      <c r="M536" s="12"/>
      <c r="N536" s="12"/>
      <c r="O536" s="14"/>
      <c r="P536" s="12"/>
      <c r="Q536" s="15"/>
      <c r="R536" s="15"/>
      <c r="S536" s="21"/>
      <c r="T536" s="12"/>
      <c r="U536" s="12"/>
      <c r="V536" s="22"/>
      <c r="W536" s="22" t="str">
        <f t="array" ref="W536">IF(A536="","",IFERROR(INDEX(PARAMETROS!$J$2:$J700,MATCH(H536,PARAMETROS!$E$2:$E700,0)),""))</f>
        <v/>
      </c>
      <c r="X536" s="23" t="str">
        <f t="shared" si="2"/>
        <v/>
      </c>
    </row>
    <row r="537" spans="1:24">
      <c r="A537" s="12"/>
      <c r="B537" s="12"/>
      <c r="C537" s="12"/>
      <c r="D537" s="12"/>
      <c r="E537" s="12"/>
      <c r="F537" s="12"/>
      <c r="G537" s="12"/>
      <c r="H537" s="12"/>
      <c r="I537" s="12"/>
      <c r="J537" s="14"/>
      <c r="K537" s="12"/>
      <c r="L537" s="14"/>
      <c r="M537" s="12"/>
      <c r="N537" s="12"/>
      <c r="O537" s="14"/>
      <c r="P537" s="12"/>
      <c r="Q537" s="15"/>
      <c r="R537" s="15"/>
      <c r="S537" s="21"/>
      <c r="T537" s="12"/>
      <c r="U537" s="12"/>
      <c r="V537" s="22"/>
      <c r="W537" s="22" t="str">
        <f t="array" ref="W537">IF(A537="","",IFERROR(INDEX(PARAMETROS!$J$2:$J700,MATCH(H537,PARAMETROS!$E$2:$E700,0)),""))</f>
        <v/>
      </c>
      <c r="X537" s="23" t="str">
        <f t="shared" si="2"/>
        <v/>
      </c>
    </row>
    <row r="538" spans="1:24">
      <c r="A538" s="12"/>
      <c r="B538" s="12"/>
      <c r="C538" s="12"/>
      <c r="D538" s="12"/>
      <c r="E538" s="12"/>
      <c r="F538" s="12"/>
      <c r="G538" s="12"/>
      <c r="H538" s="12"/>
      <c r="I538" s="12"/>
      <c r="J538" s="14"/>
      <c r="K538" s="12"/>
      <c r="L538" s="14"/>
      <c r="M538" s="12"/>
      <c r="N538" s="12"/>
      <c r="O538" s="14"/>
      <c r="P538" s="12"/>
      <c r="Q538" s="15"/>
      <c r="R538" s="15"/>
      <c r="S538" s="21"/>
      <c r="T538" s="12"/>
      <c r="U538" s="12"/>
      <c r="V538" s="22"/>
      <c r="W538" s="22" t="str">
        <f t="array" ref="W538">IF(A538="","",IFERROR(INDEX(PARAMETROS!$J$2:$J700,MATCH(H538,PARAMETROS!$E$2:$E700,0)),""))</f>
        <v/>
      </c>
      <c r="X538" s="23" t="str">
        <f t="shared" si="2"/>
        <v/>
      </c>
    </row>
    <row r="539" spans="1:24">
      <c r="A539" s="12"/>
      <c r="B539" s="12"/>
      <c r="C539" s="12"/>
      <c r="D539" s="12"/>
      <c r="E539" s="12"/>
      <c r="F539" s="12"/>
      <c r="G539" s="12"/>
      <c r="H539" s="12"/>
      <c r="I539" s="12"/>
      <c r="J539" s="14"/>
      <c r="K539" s="12"/>
      <c r="L539" s="14"/>
      <c r="M539" s="12"/>
      <c r="N539" s="12"/>
      <c r="O539" s="14"/>
      <c r="P539" s="12"/>
      <c r="Q539" s="15"/>
      <c r="R539" s="15"/>
      <c r="S539" s="21"/>
      <c r="T539" s="12"/>
      <c r="U539" s="12"/>
      <c r="V539" s="22"/>
      <c r="W539" s="22" t="str">
        <f t="array" ref="W539">IF(A539="","",IFERROR(INDEX(PARAMETROS!$J$2:$J700,MATCH(H539,PARAMETROS!$E$2:$E700,0)),""))</f>
        <v/>
      </c>
      <c r="X539" s="23" t="str">
        <f t="shared" si="2"/>
        <v/>
      </c>
    </row>
    <row r="540" spans="1:24">
      <c r="A540" s="12"/>
      <c r="B540" s="12"/>
      <c r="C540" s="12"/>
      <c r="D540" s="12"/>
      <c r="E540" s="12"/>
      <c r="F540" s="12"/>
      <c r="G540" s="12"/>
      <c r="H540" s="12"/>
      <c r="I540" s="12"/>
      <c r="J540" s="14"/>
      <c r="K540" s="12"/>
      <c r="L540" s="14"/>
      <c r="M540" s="12"/>
      <c r="N540" s="12"/>
      <c r="O540" s="14"/>
      <c r="P540" s="12"/>
      <c r="Q540" s="15"/>
      <c r="R540" s="15"/>
      <c r="S540" s="21"/>
      <c r="T540" s="12"/>
      <c r="U540" s="12"/>
      <c r="V540" s="22"/>
      <c r="W540" s="22" t="str">
        <f t="array" ref="W540">IF(A540="","",IFERROR(INDEX(PARAMETROS!$J$2:$J700,MATCH(H540,PARAMETROS!$E$2:$E700,0)),""))</f>
        <v/>
      </c>
      <c r="X540" s="23" t="str">
        <f t="shared" si="2"/>
        <v/>
      </c>
    </row>
    <row r="541" spans="1:24">
      <c r="A541" s="12"/>
      <c r="B541" s="12"/>
      <c r="C541" s="12"/>
      <c r="D541" s="12"/>
      <c r="E541" s="12"/>
      <c r="F541" s="12"/>
      <c r="G541" s="12"/>
      <c r="H541" s="12"/>
      <c r="I541" s="12"/>
      <c r="J541" s="14"/>
      <c r="K541" s="12"/>
      <c r="L541" s="14"/>
      <c r="M541" s="12"/>
      <c r="N541" s="12"/>
      <c r="O541" s="14"/>
      <c r="P541" s="12"/>
      <c r="Q541" s="15"/>
      <c r="R541" s="15"/>
      <c r="S541" s="21"/>
      <c r="T541" s="12"/>
      <c r="U541" s="12"/>
      <c r="V541" s="22"/>
      <c r="W541" s="22" t="str">
        <f t="array" ref="W541">IF(A541="","",IFERROR(INDEX(PARAMETROS!$J$2:$J700,MATCH(H541,PARAMETROS!$E$2:$E700,0)),""))</f>
        <v/>
      </c>
      <c r="X541" s="23" t="str">
        <f t="shared" si="2"/>
        <v/>
      </c>
    </row>
    <row r="542" spans="1:24">
      <c r="A542" s="12"/>
      <c r="B542" s="12"/>
      <c r="C542" s="12"/>
      <c r="D542" s="12"/>
      <c r="E542" s="12"/>
      <c r="F542" s="12"/>
      <c r="G542" s="12"/>
      <c r="H542" s="12"/>
      <c r="I542" s="12"/>
      <c r="J542" s="14"/>
      <c r="K542" s="12"/>
      <c r="L542" s="14"/>
      <c r="M542" s="12"/>
      <c r="N542" s="12"/>
      <c r="O542" s="14"/>
      <c r="P542" s="12"/>
      <c r="Q542" s="15"/>
      <c r="R542" s="15"/>
      <c r="S542" s="21"/>
      <c r="T542" s="12"/>
      <c r="U542" s="12"/>
      <c r="V542" s="22"/>
      <c r="W542" s="22" t="str">
        <f t="array" ref="W542">IF(A542="","",IFERROR(INDEX(PARAMETROS!$J$2:$J700,MATCH(H542,PARAMETROS!$E$2:$E700,0)),""))</f>
        <v/>
      </c>
      <c r="X542" s="23" t="str">
        <f t="shared" si="2"/>
        <v/>
      </c>
    </row>
    <row r="543" spans="1:24">
      <c r="A543" s="12"/>
      <c r="B543" s="12"/>
      <c r="C543" s="12"/>
      <c r="D543" s="12"/>
      <c r="E543" s="12"/>
      <c r="F543" s="12"/>
      <c r="G543" s="12"/>
      <c r="H543" s="12"/>
      <c r="I543" s="12"/>
      <c r="J543" s="14"/>
      <c r="K543" s="12"/>
      <c r="L543" s="14"/>
      <c r="M543" s="12"/>
      <c r="N543" s="12"/>
      <c r="O543" s="14"/>
      <c r="P543" s="12"/>
      <c r="Q543" s="15"/>
      <c r="R543" s="15"/>
      <c r="S543" s="21"/>
      <c r="T543" s="12"/>
      <c r="U543" s="12"/>
      <c r="V543" s="22"/>
      <c r="W543" s="22" t="str">
        <f t="array" ref="W543">IF(A543="","",IFERROR(INDEX(PARAMETROS!$J$2:$J700,MATCH(H543,PARAMETROS!$E$2:$E700,0)),""))</f>
        <v/>
      </c>
      <c r="X543" s="23" t="str">
        <f t="shared" si="2"/>
        <v/>
      </c>
    </row>
    <row r="544" spans="1:24">
      <c r="A544" s="12"/>
      <c r="B544" s="12"/>
      <c r="C544" s="12"/>
      <c r="D544" s="12"/>
      <c r="E544" s="12"/>
      <c r="F544" s="12"/>
      <c r="G544" s="12"/>
      <c r="H544" s="12"/>
      <c r="I544" s="12"/>
      <c r="J544" s="14"/>
      <c r="K544" s="12"/>
      <c r="L544" s="14"/>
      <c r="M544" s="12"/>
      <c r="N544" s="12"/>
      <c r="O544" s="14"/>
      <c r="P544" s="12"/>
      <c r="Q544" s="15"/>
      <c r="R544" s="15"/>
      <c r="S544" s="21"/>
      <c r="T544" s="12"/>
      <c r="U544" s="12"/>
      <c r="V544" s="22"/>
      <c r="W544" s="22" t="str">
        <f t="array" ref="W544">IF(A544="","",IFERROR(INDEX(PARAMETROS!$J$2:$J700,MATCH(H544,PARAMETROS!$E$2:$E700,0)),""))</f>
        <v/>
      </c>
      <c r="X544" s="23" t="str">
        <f t="shared" si="2"/>
        <v/>
      </c>
    </row>
    <row r="545" spans="1:24">
      <c r="A545" s="12"/>
      <c r="B545" s="12"/>
      <c r="C545" s="12"/>
      <c r="D545" s="12"/>
      <c r="E545" s="12"/>
      <c r="F545" s="12"/>
      <c r="G545" s="12"/>
      <c r="H545" s="12"/>
      <c r="I545" s="12"/>
      <c r="J545" s="14"/>
      <c r="K545" s="12"/>
      <c r="L545" s="14"/>
      <c r="M545" s="12"/>
      <c r="N545" s="12"/>
      <c r="O545" s="14"/>
      <c r="P545" s="12"/>
      <c r="Q545" s="15"/>
      <c r="R545" s="15"/>
      <c r="S545" s="21"/>
      <c r="T545" s="12"/>
      <c r="U545" s="12"/>
      <c r="V545" s="22"/>
      <c r="W545" s="22" t="str">
        <f t="array" ref="W545">IF(A545="","",IFERROR(INDEX(PARAMETROS!$J$2:$J700,MATCH(H545,PARAMETROS!$E$2:$E700,0)),""))</f>
        <v/>
      </c>
      <c r="X545" s="23" t="str">
        <f t="shared" si="2"/>
        <v/>
      </c>
    </row>
    <row r="546" spans="1:24">
      <c r="A546" s="12"/>
      <c r="B546" s="12"/>
      <c r="C546" s="12"/>
      <c r="D546" s="12"/>
      <c r="E546" s="12"/>
      <c r="F546" s="12"/>
      <c r="G546" s="12"/>
      <c r="H546" s="12"/>
      <c r="I546" s="12"/>
      <c r="J546" s="14"/>
      <c r="K546" s="12"/>
      <c r="L546" s="14"/>
      <c r="M546" s="12"/>
      <c r="N546" s="12"/>
      <c r="O546" s="14"/>
      <c r="P546" s="12"/>
      <c r="Q546" s="15"/>
      <c r="R546" s="15"/>
      <c r="S546" s="21"/>
      <c r="T546" s="12"/>
      <c r="U546" s="12"/>
      <c r="V546" s="22"/>
      <c r="W546" s="22" t="str">
        <f t="array" ref="W546">IF(A546="","",IFERROR(INDEX(PARAMETROS!$J$2:$J700,MATCH(H546,PARAMETROS!$E$2:$E700,0)),""))</f>
        <v/>
      </c>
      <c r="X546" s="23" t="str">
        <f t="shared" si="2"/>
        <v/>
      </c>
    </row>
    <row r="547" spans="1:24">
      <c r="A547" s="12"/>
      <c r="B547" s="12"/>
      <c r="C547" s="12"/>
      <c r="D547" s="12"/>
      <c r="E547" s="12"/>
      <c r="F547" s="12"/>
      <c r="G547" s="12"/>
      <c r="H547" s="12"/>
      <c r="I547" s="12"/>
      <c r="J547" s="14"/>
      <c r="K547" s="12"/>
      <c r="L547" s="14"/>
      <c r="M547" s="12"/>
      <c r="N547" s="12"/>
      <c r="O547" s="14"/>
      <c r="P547" s="12"/>
      <c r="Q547" s="15"/>
      <c r="R547" s="15"/>
      <c r="S547" s="21"/>
      <c r="T547" s="12"/>
      <c r="U547" s="12"/>
      <c r="V547" s="22"/>
      <c r="W547" s="22" t="str">
        <f t="array" ref="W547">IF(A547="","",IFERROR(INDEX(PARAMETROS!$J$2:$J700,MATCH(H547,PARAMETROS!$E$2:$E700,0)),""))</f>
        <v/>
      </c>
      <c r="X547" s="23" t="str">
        <f t="shared" si="2"/>
        <v/>
      </c>
    </row>
    <row r="548" spans="1:24">
      <c r="A548" s="12"/>
      <c r="B548" s="12"/>
      <c r="C548" s="12"/>
      <c r="D548" s="12"/>
      <c r="E548" s="12"/>
      <c r="F548" s="12"/>
      <c r="G548" s="12"/>
      <c r="H548" s="12"/>
      <c r="I548" s="12"/>
      <c r="J548" s="14"/>
      <c r="K548" s="12"/>
      <c r="L548" s="14"/>
      <c r="M548" s="12"/>
      <c r="N548" s="12"/>
      <c r="O548" s="14"/>
      <c r="P548" s="12"/>
      <c r="Q548" s="15"/>
      <c r="R548" s="15"/>
      <c r="S548" s="21"/>
      <c r="T548" s="12"/>
      <c r="U548" s="12"/>
      <c r="V548" s="22"/>
      <c r="W548" s="22" t="str">
        <f t="array" ref="W548">IF(A548="","",IFERROR(INDEX(PARAMETROS!$J$2:$J700,MATCH(H548,PARAMETROS!$E$2:$E700,0)),""))</f>
        <v/>
      </c>
      <c r="X548" s="23" t="str">
        <f t="shared" si="2"/>
        <v/>
      </c>
    </row>
    <row r="549" spans="1:24">
      <c r="A549" s="12"/>
      <c r="B549" s="12"/>
      <c r="C549" s="12"/>
      <c r="D549" s="12"/>
      <c r="E549" s="12"/>
      <c r="F549" s="12"/>
      <c r="G549" s="12"/>
      <c r="H549" s="12"/>
      <c r="I549" s="12"/>
      <c r="J549" s="14"/>
      <c r="K549" s="12"/>
      <c r="L549" s="14"/>
      <c r="M549" s="12"/>
      <c r="N549" s="12"/>
      <c r="O549" s="14"/>
      <c r="P549" s="12"/>
      <c r="Q549" s="15"/>
      <c r="R549" s="15"/>
      <c r="S549" s="21"/>
      <c r="T549" s="12"/>
      <c r="U549" s="12"/>
      <c r="V549" s="22"/>
      <c r="W549" s="22" t="str">
        <f t="array" ref="W549">IF(A549="","",IFERROR(INDEX(PARAMETROS!$J$2:$J700,MATCH(H549,PARAMETROS!$E$2:$E700,0)),""))</f>
        <v/>
      </c>
      <c r="X549" s="23" t="str">
        <f t="shared" si="2"/>
        <v/>
      </c>
    </row>
    <row r="550" spans="1:24">
      <c r="A550" s="12"/>
      <c r="B550" s="12"/>
      <c r="C550" s="12"/>
      <c r="D550" s="12"/>
      <c r="E550" s="12"/>
      <c r="F550" s="12"/>
      <c r="G550" s="12"/>
      <c r="H550" s="12"/>
      <c r="I550" s="12"/>
      <c r="J550" s="14"/>
      <c r="K550" s="12"/>
      <c r="L550" s="14"/>
      <c r="M550" s="12"/>
      <c r="N550" s="12"/>
      <c r="O550" s="14"/>
      <c r="P550" s="12"/>
      <c r="Q550" s="15"/>
      <c r="R550" s="15"/>
      <c r="S550" s="21"/>
      <c r="T550" s="12"/>
      <c r="U550" s="12"/>
      <c r="V550" s="22"/>
      <c r="W550" s="22" t="str">
        <f t="array" ref="W550">IF(A550="","",IFERROR(INDEX(PARAMETROS!$J$2:$J700,MATCH(H550,PARAMETROS!$E$2:$E700,0)),""))</f>
        <v/>
      </c>
      <c r="X550" s="23" t="str">
        <f t="shared" si="2"/>
        <v/>
      </c>
    </row>
    <row r="551" spans="1:24">
      <c r="A551" s="12"/>
      <c r="B551" s="12"/>
      <c r="C551" s="12"/>
      <c r="D551" s="12"/>
      <c r="E551" s="12"/>
      <c r="F551" s="12"/>
      <c r="G551" s="12"/>
      <c r="H551" s="12"/>
      <c r="I551" s="12"/>
      <c r="J551" s="14"/>
      <c r="K551" s="12"/>
      <c r="L551" s="14"/>
      <c r="M551" s="12"/>
      <c r="N551" s="12"/>
      <c r="O551" s="14"/>
      <c r="P551" s="12"/>
      <c r="Q551" s="15"/>
      <c r="R551" s="15"/>
      <c r="S551" s="21"/>
      <c r="T551" s="12"/>
      <c r="U551" s="12"/>
      <c r="V551" s="22"/>
      <c r="W551" s="22" t="str">
        <f t="array" ref="W551">IF(A551="","",IFERROR(INDEX(PARAMETROS!$J$2:$J700,MATCH(H551,PARAMETROS!$E$2:$E700,0)),""))</f>
        <v/>
      </c>
      <c r="X551" s="23" t="str">
        <f t="shared" si="2"/>
        <v/>
      </c>
    </row>
    <row r="552" spans="1:24">
      <c r="A552" s="12"/>
      <c r="B552" s="12"/>
      <c r="C552" s="12"/>
      <c r="D552" s="12"/>
      <c r="E552" s="12"/>
      <c r="F552" s="12"/>
      <c r="G552" s="12"/>
      <c r="H552" s="12"/>
      <c r="I552" s="12"/>
      <c r="J552" s="14"/>
      <c r="K552" s="12"/>
      <c r="L552" s="14"/>
      <c r="M552" s="12"/>
      <c r="N552" s="12"/>
      <c r="O552" s="14"/>
      <c r="P552" s="12"/>
      <c r="Q552" s="15"/>
      <c r="R552" s="15"/>
      <c r="S552" s="21"/>
      <c r="T552" s="12"/>
      <c r="U552" s="12"/>
      <c r="V552" s="22"/>
      <c r="W552" s="22" t="str">
        <f t="array" ref="W552">IF(A552="","",IFERROR(INDEX(PARAMETROS!$J$2:$J700,MATCH(H552,PARAMETROS!$E$2:$E700,0)),""))</f>
        <v/>
      </c>
      <c r="X552" s="23" t="str">
        <f t="shared" si="2"/>
        <v/>
      </c>
    </row>
    <row r="553" spans="1:24">
      <c r="A553" s="12"/>
      <c r="B553" s="12"/>
      <c r="C553" s="12"/>
      <c r="D553" s="12"/>
      <c r="E553" s="12"/>
      <c r="F553" s="12"/>
      <c r="G553" s="12"/>
      <c r="H553" s="12"/>
      <c r="I553" s="12"/>
      <c r="J553" s="14"/>
      <c r="K553" s="12"/>
      <c r="L553" s="14"/>
      <c r="M553" s="12"/>
      <c r="N553" s="12"/>
      <c r="O553" s="14"/>
      <c r="P553" s="12"/>
      <c r="Q553" s="15"/>
      <c r="R553" s="15"/>
      <c r="S553" s="21"/>
      <c r="T553" s="12"/>
      <c r="U553" s="12"/>
      <c r="V553" s="22"/>
      <c r="W553" s="22" t="str">
        <f t="array" ref="W553">IF(A553="","",IFERROR(INDEX(PARAMETROS!$J$2:$J700,MATCH(H553,PARAMETROS!$E$2:$E700,0)),""))</f>
        <v/>
      </c>
      <c r="X553" s="23" t="str">
        <f t="shared" si="2"/>
        <v/>
      </c>
    </row>
    <row r="554" spans="1:24">
      <c r="A554" s="12"/>
      <c r="B554" s="12"/>
      <c r="C554" s="12"/>
      <c r="D554" s="12"/>
      <c r="E554" s="12"/>
      <c r="F554" s="12"/>
      <c r="G554" s="12"/>
      <c r="H554" s="12"/>
      <c r="I554" s="12"/>
      <c r="J554" s="14"/>
      <c r="K554" s="12"/>
      <c r="L554" s="14"/>
      <c r="M554" s="12"/>
      <c r="N554" s="12"/>
      <c r="O554" s="14"/>
      <c r="P554" s="12"/>
      <c r="Q554" s="15"/>
      <c r="R554" s="15"/>
      <c r="S554" s="21"/>
      <c r="T554" s="12"/>
      <c r="U554" s="12"/>
      <c r="V554" s="22"/>
      <c r="W554" s="22" t="str">
        <f t="array" ref="W554">IF(A554="","",IFERROR(INDEX(PARAMETROS!$J$2:$J700,MATCH(H554,PARAMETROS!$E$2:$E700,0)),""))</f>
        <v/>
      </c>
      <c r="X554" s="23" t="str">
        <f t="shared" si="2"/>
        <v/>
      </c>
    </row>
    <row r="555" spans="1:24">
      <c r="A555" s="12"/>
      <c r="B555" s="12"/>
      <c r="C555" s="12"/>
      <c r="D555" s="12"/>
      <c r="E555" s="12"/>
      <c r="F555" s="12"/>
      <c r="G555" s="12"/>
      <c r="H555" s="12"/>
      <c r="I555" s="12"/>
      <c r="J555" s="14"/>
      <c r="K555" s="12"/>
      <c r="L555" s="14"/>
      <c r="M555" s="12"/>
      <c r="N555" s="12"/>
      <c r="O555" s="14"/>
      <c r="P555" s="12"/>
      <c r="Q555" s="15"/>
      <c r="R555" s="15"/>
      <c r="S555" s="21"/>
      <c r="T555" s="12"/>
      <c r="U555" s="12"/>
      <c r="V555" s="22"/>
      <c r="W555" s="22" t="str">
        <f t="array" ref="W555">IF(A555="","",IFERROR(INDEX(PARAMETROS!$J$2:$J700,MATCH(H555,PARAMETROS!$E$2:$E700,0)),""))</f>
        <v/>
      </c>
      <c r="X555" s="23" t="str">
        <f t="shared" si="2"/>
        <v/>
      </c>
    </row>
    <row r="556" spans="1:24">
      <c r="A556" s="12"/>
      <c r="B556" s="12"/>
      <c r="C556" s="12"/>
      <c r="D556" s="12"/>
      <c r="E556" s="12"/>
      <c r="F556" s="12"/>
      <c r="G556" s="12"/>
      <c r="H556" s="12"/>
      <c r="I556" s="12"/>
      <c r="J556" s="14"/>
      <c r="K556" s="12"/>
      <c r="L556" s="14"/>
      <c r="M556" s="12"/>
      <c r="N556" s="12"/>
      <c r="O556" s="14"/>
      <c r="P556" s="12"/>
      <c r="Q556" s="15"/>
      <c r="R556" s="15"/>
      <c r="S556" s="21"/>
      <c r="T556" s="12"/>
      <c r="U556" s="12"/>
      <c r="V556" s="22"/>
      <c r="W556" s="22" t="str">
        <f t="array" ref="W556">IF(A556="","",IFERROR(INDEX(PARAMETROS!$J$2:$J700,MATCH(H556,PARAMETROS!$E$2:$E700,0)),""))</f>
        <v/>
      </c>
      <c r="X556" s="23" t="str">
        <f t="shared" si="2"/>
        <v/>
      </c>
    </row>
    <row r="557" spans="1:24">
      <c r="A557" s="12"/>
      <c r="B557" s="12"/>
      <c r="C557" s="12"/>
      <c r="D557" s="12"/>
      <c r="E557" s="12"/>
      <c r="F557" s="12"/>
      <c r="G557" s="12"/>
      <c r="H557" s="12"/>
      <c r="I557" s="12"/>
      <c r="J557" s="14"/>
      <c r="K557" s="12"/>
      <c r="L557" s="14"/>
      <c r="M557" s="12"/>
      <c r="N557" s="12"/>
      <c r="O557" s="14"/>
      <c r="P557" s="12"/>
      <c r="Q557" s="15"/>
      <c r="R557" s="15"/>
      <c r="S557" s="21"/>
      <c r="T557" s="12"/>
      <c r="U557" s="12"/>
      <c r="V557" s="22"/>
      <c r="W557" s="22" t="str">
        <f t="array" ref="W557">IF(A557="","",IFERROR(INDEX(PARAMETROS!$J$2:$J700,MATCH(H557,PARAMETROS!$E$2:$E700,0)),""))</f>
        <v/>
      </c>
      <c r="X557" s="23" t="str">
        <f t="shared" si="2"/>
        <v/>
      </c>
    </row>
    <row r="558" spans="1:24">
      <c r="A558" s="12"/>
      <c r="B558" s="12"/>
      <c r="C558" s="12"/>
      <c r="D558" s="12"/>
      <c r="E558" s="12"/>
      <c r="F558" s="12"/>
      <c r="G558" s="12"/>
      <c r="H558" s="12"/>
      <c r="I558" s="12"/>
      <c r="J558" s="14"/>
      <c r="K558" s="12"/>
      <c r="L558" s="14"/>
      <c r="M558" s="12"/>
      <c r="N558" s="12"/>
      <c r="O558" s="14"/>
      <c r="P558" s="12"/>
      <c r="Q558" s="15"/>
      <c r="R558" s="15"/>
      <c r="S558" s="21"/>
      <c r="T558" s="12"/>
      <c r="U558" s="12"/>
      <c r="V558" s="22"/>
      <c r="W558" s="22" t="str">
        <f t="array" ref="W558">IF(A558="","",IFERROR(INDEX(PARAMETROS!$J$2:$J700,MATCH(H558,PARAMETROS!$E$2:$E700,0)),""))</f>
        <v/>
      </c>
      <c r="X558" s="23" t="str">
        <f t="shared" si="2"/>
        <v/>
      </c>
    </row>
    <row r="559" spans="1:24">
      <c r="A559" s="12"/>
      <c r="B559" s="12"/>
      <c r="C559" s="12"/>
      <c r="D559" s="12"/>
      <c r="E559" s="12"/>
      <c r="F559" s="12"/>
      <c r="G559" s="12"/>
      <c r="H559" s="12"/>
      <c r="I559" s="12"/>
      <c r="J559" s="14"/>
      <c r="K559" s="12"/>
      <c r="L559" s="14"/>
      <c r="M559" s="12"/>
      <c r="N559" s="12"/>
      <c r="O559" s="14"/>
      <c r="P559" s="12"/>
      <c r="Q559" s="15"/>
      <c r="R559" s="15"/>
      <c r="S559" s="21"/>
      <c r="T559" s="12"/>
      <c r="U559" s="12"/>
      <c r="V559" s="22"/>
      <c r="W559" s="22" t="str">
        <f t="array" ref="W559">IF(A559="","",IFERROR(INDEX(PARAMETROS!$J$2:$J700,MATCH(H559,PARAMETROS!$E$2:$E700,0)),""))</f>
        <v/>
      </c>
      <c r="X559" s="23" t="str">
        <f t="shared" si="2"/>
        <v/>
      </c>
    </row>
    <row r="560" spans="1:24">
      <c r="A560" s="12"/>
      <c r="B560" s="12"/>
      <c r="C560" s="12"/>
      <c r="D560" s="12"/>
      <c r="E560" s="12"/>
      <c r="F560" s="12"/>
      <c r="G560" s="12"/>
      <c r="H560" s="12"/>
      <c r="I560" s="12"/>
      <c r="J560" s="14"/>
      <c r="K560" s="12"/>
      <c r="L560" s="14"/>
      <c r="M560" s="12"/>
      <c r="N560" s="12"/>
      <c r="O560" s="14"/>
      <c r="P560" s="12"/>
      <c r="Q560" s="15"/>
      <c r="R560" s="15"/>
      <c r="S560" s="21"/>
      <c r="T560" s="12"/>
      <c r="U560" s="12"/>
      <c r="V560" s="22"/>
      <c r="W560" s="22" t="str">
        <f t="array" ref="W560">IF(A560="","",IFERROR(INDEX(PARAMETROS!$J$2:$J700,MATCH(H560,PARAMETROS!$E$2:$E700,0)),""))</f>
        <v/>
      </c>
      <c r="X560" s="23" t="str">
        <f t="shared" si="2"/>
        <v/>
      </c>
    </row>
    <row r="561" spans="1:24">
      <c r="A561" s="12"/>
      <c r="B561" s="12"/>
      <c r="C561" s="12"/>
      <c r="D561" s="12"/>
      <c r="E561" s="12"/>
      <c r="F561" s="12"/>
      <c r="G561" s="12"/>
      <c r="H561" s="12"/>
      <c r="I561" s="12"/>
      <c r="J561" s="14"/>
      <c r="K561" s="12"/>
      <c r="L561" s="14"/>
      <c r="M561" s="12"/>
      <c r="N561" s="12"/>
      <c r="O561" s="14"/>
      <c r="P561" s="12"/>
      <c r="Q561" s="15"/>
      <c r="R561" s="15"/>
      <c r="S561" s="21"/>
      <c r="T561" s="12"/>
      <c r="U561" s="12"/>
      <c r="V561" s="22"/>
      <c r="W561" s="22" t="str">
        <f t="array" ref="W561">IF(A561="","",IFERROR(INDEX(PARAMETROS!$J$2:$J700,MATCH(H561,PARAMETROS!$E$2:$E700,0)),""))</f>
        <v/>
      </c>
      <c r="X561" s="23" t="str">
        <f t="shared" si="2"/>
        <v/>
      </c>
    </row>
    <row r="562" spans="1:24">
      <c r="A562" s="12"/>
      <c r="B562" s="12"/>
      <c r="C562" s="12"/>
      <c r="D562" s="12"/>
      <c r="E562" s="12"/>
      <c r="F562" s="12"/>
      <c r="G562" s="12"/>
      <c r="H562" s="12"/>
      <c r="I562" s="12"/>
      <c r="J562" s="14"/>
      <c r="K562" s="12"/>
      <c r="L562" s="14"/>
      <c r="M562" s="12"/>
      <c r="N562" s="12"/>
      <c r="O562" s="14"/>
      <c r="P562" s="12"/>
      <c r="Q562" s="15"/>
      <c r="R562" s="15"/>
      <c r="S562" s="21"/>
      <c r="T562" s="12"/>
      <c r="U562" s="12"/>
      <c r="V562" s="22"/>
      <c r="W562" s="22" t="str">
        <f t="array" ref="W562">IF(A562="","",IFERROR(INDEX(PARAMETROS!$J$2:$J700,MATCH(H562,PARAMETROS!$E$2:$E700,0)),""))</f>
        <v/>
      </c>
      <c r="X562" s="23" t="str">
        <f t="shared" si="2"/>
        <v/>
      </c>
    </row>
    <row r="563" spans="1:24">
      <c r="A563" s="12"/>
      <c r="B563" s="12"/>
      <c r="C563" s="12"/>
      <c r="D563" s="12"/>
      <c r="E563" s="12"/>
      <c r="F563" s="12"/>
      <c r="G563" s="12"/>
      <c r="H563" s="12"/>
      <c r="I563" s="12"/>
      <c r="J563" s="14"/>
      <c r="K563" s="12"/>
      <c r="L563" s="14"/>
      <c r="M563" s="12"/>
      <c r="N563" s="12"/>
      <c r="O563" s="14"/>
      <c r="P563" s="12"/>
      <c r="Q563" s="15"/>
      <c r="R563" s="15"/>
      <c r="S563" s="21"/>
      <c r="T563" s="12"/>
      <c r="U563" s="12"/>
      <c r="V563" s="22"/>
      <c r="W563" s="22" t="str">
        <f t="array" ref="W563">IF(A563="","",IFERROR(INDEX(PARAMETROS!$J$2:$J700,MATCH(H563,PARAMETROS!$E$2:$E700,0)),""))</f>
        <v/>
      </c>
      <c r="X563" s="23" t="str">
        <f t="shared" si="2"/>
        <v/>
      </c>
    </row>
    <row r="564" spans="1:24">
      <c r="A564" s="12"/>
      <c r="B564" s="12"/>
      <c r="C564" s="12"/>
      <c r="D564" s="12"/>
      <c r="E564" s="12"/>
      <c r="F564" s="12"/>
      <c r="G564" s="12"/>
      <c r="H564" s="12"/>
      <c r="I564" s="12"/>
      <c r="J564" s="14"/>
      <c r="K564" s="12"/>
      <c r="L564" s="14"/>
      <c r="M564" s="12"/>
      <c r="N564" s="12"/>
      <c r="O564" s="14"/>
      <c r="P564" s="12"/>
      <c r="Q564" s="15"/>
      <c r="R564" s="15"/>
      <c r="S564" s="21"/>
      <c r="T564" s="12"/>
      <c r="U564" s="12"/>
      <c r="V564" s="22"/>
      <c r="W564" s="22" t="str">
        <f t="array" ref="W564">IF(A564="","",IFERROR(INDEX(PARAMETROS!$J$2:$J700,MATCH(H564,PARAMETROS!$E$2:$E700,0)),""))</f>
        <v/>
      </c>
      <c r="X564" s="23" t="str">
        <f t="shared" si="2"/>
        <v/>
      </c>
    </row>
    <row r="565" spans="1:24">
      <c r="A565" s="12"/>
      <c r="B565" s="12"/>
      <c r="C565" s="12"/>
      <c r="D565" s="12"/>
      <c r="E565" s="12"/>
      <c r="F565" s="12"/>
      <c r="G565" s="12"/>
      <c r="H565" s="12"/>
      <c r="I565" s="12"/>
      <c r="J565" s="14"/>
      <c r="K565" s="12"/>
      <c r="L565" s="14"/>
      <c r="M565" s="12"/>
      <c r="N565" s="12"/>
      <c r="O565" s="14"/>
      <c r="P565" s="12"/>
      <c r="Q565" s="15"/>
      <c r="R565" s="15"/>
      <c r="S565" s="21"/>
      <c r="T565" s="12"/>
      <c r="U565" s="12"/>
      <c r="V565" s="22"/>
      <c r="W565" s="22" t="str">
        <f t="array" ref="W565">IF(A565="","",IFERROR(INDEX(PARAMETROS!$J$2:$J700,MATCH(H565,PARAMETROS!$E$2:$E700,0)),""))</f>
        <v/>
      </c>
      <c r="X565" s="23" t="str">
        <f t="shared" si="2"/>
        <v/>
      </c>
    </row>
    <row r="566" spans="1:24">
      <c r="A566" s="12"/>
      <c r="B566" s="12"/>
      <c r="C566" s="12"/>
      <c r="D566" s="12"/>
      <c r="E566" s="12"/>
      <c r="F566" s="12"/>
      <c r="G566" s="12"/>
      <c r="H566" s="12"/>
      <c r="I566" s="12"/>
      <c r="J566" s="14"/>
      <c r="K566" s="12"/>
      <c r="L566" s="14"/>
      <c r="M566" s="12"/>
      <c r="N566" s="12"/>
      <c r="O566" s="14"/>
      <c r="P566" s="12"/>
      <c r="Q566" s="15"/>
      <c r="R566" s="15"/>
      <c r="S566" s="21"/>
      <c r="T566" s="12"/>
      <c r="U566" s="12"/>
      <c r="V566" s="22"/>
      <c r="W566" s="22" t="str">
        <f t="array" ref="W566">IF(A566="","",IFERROR(INDEX(PARAMETROS!$J$2:$J700,MATCH(H566,PARAMETROS!$E$2:$E700,0)),""))</f>
        <v/>
      </c>
      <c r="X566" s="23" t="str">
        <f t="shared" si="2"/>
        <v/>
      </c>
    </row>
    <row r="567" spans="1:24">
      <c r="A567" s="12"/>
      <c r="B567" s="12"/>
      <c r="C567" s="12"/>
      <c r="D567" s="12"/>
      <c r="E567" s="12"/>
      <c r="F567" s="12"/>
      <c r="G567" s="12"/>
      <c r="H567" s="12"/>
      <c r="I567" s="12"/>
      <c r="J567" s="14"/>
      <c r="K567" s="12"/>
      <c r="L567" s="14"/>
      <c r="M567" s="12"/>
      <c r="N567" s="12"/>
      <c r="O567" s="14"/>
      <c r="P567" s="12"/>
      <c r="Q567" s="15"/>
      <c r="R567" s="15"/>
      <c r="S567" s="21"/>
      <c r="T567" s="12"/>
      <c r="U567" s="12"/>
      <c r="V567" s="22"/>
      <c r="W567" s="22" t="str">
        <f t="array" ref="W567">IF(A567="","",IFERROR(INDEX(PARAMETROS!$J$2:$J700,MATCH(H567,PARAMETROS!$E$2:$E700,0)),""))</f>
        <v/>
      </c>
      <c r="X567" s="23" t="str">
        <f t="shared" si="2"/>
        <v/>
      </c>
    </row>
    <row r="568" spans="1:24">
      <c r="A568" s="12"/>
      <c r="B568" s="12"/>
      <c r="C568" s="12"/>
      <c r="D568" s="12"/>
      <c r="E568" s="12"/>
      <c r="F568" s="12"/>
      <c r="G568" s="12"/>
      <c r="H568" s="12"/>
      <c r="I568" s="12"/>
      <c r="J568" s="14"/>
      <c r="K568" s="12"/>
      <c r="L568" s="14"/>
      <c r="M568" s="12"/>
      <c r="N568" s="12"/>
      <c r="O568" s="14"/>
      <c r="P568" s="12"/>
      <c r="Q568" s="15"/>
      <c r="R568" s="15"/>
      <c r="S568" s="21"/>
      <c r="T568" s="12"/>
      <c r="U568" s="12"/>
      <c r="V568" s="22"/>
      <c r="W568" s="22" t="str">
        <f t="array" ref="W568">IF(A568="","",IFERROR(INDEX(PARAMETROS!$J$2:$J700,MATCH(H568,PARAMETROS!$E$2:$E700,0)),""))</f>
        <v/>
      </c>
      <c r="X568" s="23" t="str">
        <f t="shared" si="2"/>
        <v/>
      </c>
    </row>
    <row r="569" spans="1:24">
      <c r="A569" s="12"/>
      <c r="B569" s="12"/>
      <c r="C569" s="12"/>
      <c r="D569" s="12"/>
      <c r="E569" s="12"/>
      <c r="F569" s="12"/>
      <c r="G569" s="12"/>
      <c r="H569" s="12"/>
      <c r="I569" s="12"/>
      <c r="J569" s="14"/>
      <c r="K569" s="12"/>
      <c r="L569" s="14"/>
      <c r="M569" s="12"/>
      <c r="N569" s="12"/>
      <c r="O569" s="14"/>
      <c r="P569" s="12"/>
      <c r="Q569" s="15"/>
      <c r="R569" s="15"/>
      <c r="S569" s="21"/>
      <c r="T569" s="12"/>
      <c r="U569" s="12"/>
      <c r="V569" s="22"/>
      <c r="W569" s="22" t="str">
        <f t="array" ref="W569">IF(A569="","",IFERROR(INDEX(PARAMETROS!$J$2:$J700,MATCH(H569,PARAMETROS!$E$2:$E700,0)),""))</f>
        <v/>
      </c>
      <c r="X569" s="23" t="str">
        <f t="shared" si="2"/>
        <v/>
      </c>
    </row>
    <row r="570" spans="1:24">
      <c r="A570" s="12"/>
      <c r="B570" s="12"/>
      <c r="C570" s="12"/>
      <c r="D570" s="12"/>
      <c r="E570" s="12"/>
      <c r="F570" s="12"/>
      <c r="G570" s="12"/>
      <c r="H570" s="12"/>
      <c r="I570" s="12"/>
      <c r="J570" s="14"/>
      <c r="K570" s="12"/>
      <c r="L570" s="14"/>
      <c r="M570" s="12"/>
      <c r="N570" s="12"/>
      <c r="O570" s="14"/>
      <c r="P570" s="12"/>
      <c r="Q570" s="15"/>
      <c r="R570" s="15"/>
      <c r="S570" s="21"/>
      <c r="T570" s="12"/>
      <c r="U570" s="12"/>
      <c r="V570" s="22"/>
      <c r="W570" s="22" t="str">
        <f t="array" ref="W570">IF(A570="","",IFERROR(INDEX(PARAMETROS!$J$2:$J700,MATCH(H570,PARAMETROS!$E$2:$E700,0)),""))</f>
        <v/>
      </c>
      <c r="X570" s="23" t="str">
        <f t="shared" si="2"/>
        <v/>
      </c>
    </row>
    <row r="571" spans="1:24">
      <c r="A571" s="12"/>
      <c r="B571" s="12"/>
      <c r="C571" s="12"/>
      <c r="D571" s="12"/>
      <c r="E571" s="12"/>
      <c r="F571" s="12"/>
      <c r="G571" s="12"/>
      <c r="H571" s="12"/>
      <c r="I571" s="12"/>
      <c r="J571" s="14"/>
      <c r="K571" s="12"/>
      <c r="L571" s="14"/>
      <c r="M571" s="12"/>
      <c r="N571" s="12"/>
      <c r="O571" s="14"/>
      <c r="P571" s="12"/>
      <c r="Q571" s="15"/>
      <c r="R571" s="15"/>
      <c r="S571" s="21"/>
      <c r="T571" s="12"/>
      <c r="U571" s="12"/>
      <c r="V571" s="22"/>
      <c r="W571" s="22" t="str">
        <f t="array" ref="W571">IF(A571="","",IFERROR(INDEX(PARAMETROS!$J$2:$J700,MATCH(H571,PARAMETROS!$E$2:$E700,0)),""))</f>
        <v/>
      </c>
      <c r="X571" s="23" t="str">
        <f t="shared" si="2"/>
        <v/>
      </c>
    </row>
    <row r="572" spans="1:24">
      <c r="A572" s="12"/>
      <c r="B572" s="12"/>
      <c r="C572" s="12"/>
      <c r="D572" s="12"/>
      <c r="E572" s="12"/>
      <c r="F572" s="12"/>
      <c r="G572" s="12"/>
      <c r="H572" s="12"/>
      <c r="I572" s="12"/>
      <c r="J572" s="14"/>
      <c r="K572" s="12"/>
      <c r="L572" s="14"/>
      <c r="M572" s="12"/>
      <c r="N572" s="12"/>
      <c r="O572" s="14"/>
      <c r="P572" s="12"/>
      <c r="Q572" s="15"/>
      <c r="R572" s="15"/>
      <c r="S572" s="21"/>
      <c r="T572" s="12"/>
      <c r="U572" s="12"/>
      <c r="V572" s="22"/>
      <c r="W572" s="22" t="str">
        <f t="array" ref="W572">IF(A572="","",IFERROR(INDEX(PARAMETROS!$J$2:$J700,MATCH(H572,PARAMETROS!$E$2:$E700,0)),""))</f>
        <v/>
      </c>
      <c r="X572" s="23" t="str">
        <f t="shared" si="2"/>
        <v/>
      </c>
    </row>
    <row r="573" spans="1:24">
      <c r="A573" s="12"/>
      <c r="B573" s="12"/>
      <c r="C573" s="12"/>
      <c r="D573" s="12"/>
      <c r="E573" s="12"/>
      <c r="F573" s="12"/>
      <c r="G573" s="12"/>
      <c r="H573" s="12"/>
      <c r="I573" s="12"/>
      <c r="J573" s="14"/>
      <c r="K573" s="12"/>
      <c r="L573" s="14"/>
      <c r="M573" s="12"/>
      <c r="N573" s="12"/>
      <c r="O573" s="14"/>
      <c r="P573" s="12"/>
      <c r="Q573" s="15"/>
      <c r="R573" s="15"/>
      <c r="S573" s="21"/>
      <c r="T573" s="12"/>
      <c r="U573" s="12"/>
      <c r="V573" s="22"/>
      <c r="W573" s="22" t="str">
        <f t="array" ref="W573">IF(A573="","",IFERROR(INDEX(PARAMETROS!$J$2:$J700,MATCH(H573,PARAMETROS!$E$2:$E700,0)),""))</f>
        <v/>
      </c>
      <c r="X573" s="23" t="str">
        <f t="shared" si="2"/>
        <v/>
      </c>
    </row>
    <row r="574" spans="1:24">
      <c r="A574" s="12"/>
      <c r="B574" s="12"/>
      <c r="C574" s="12"/>
      <c r="D574" s="12"/>
      <c r="E574" s="12"/>
      <c r="F574" s="12"/>
      <c r="G574" s="12"/>
      <c r="H574" s="12"/>
      <c r="I574" s="12"/>
      <c r="J574" s="14"/>
      <c r="K574" s="12"/>
      <c r="L574" s="14"/>
      <c r="M574" s="12"/>
      <c r="N574" s="12"/>
      <c r="O574" s="14"/>
      <c r="P574" s="12"/>
      <c r="Q574" s="15"/>
      <c r="R574" s="15"/>
      <c r="S574" s="21"/>
      <c r="T574" s="12"/>
      <c r="U574" s="12"/>
      <c r="V574" s="22"/>
      <c r="W574" s="22" t="str">
        <f t="array" ref="W574">IF(A574="","",IFERROR(INDEX(PARAMETROS!$J$2:$J700,MATCH(H574,PARAMETROS!$E$2:$E700,0)),""))</f>
        <v/>
      </c>
      <c r="X574" s="23" t="str">
        <f t="shared" si="2"/>
        <v/>
      </c>
    </row>
    <row r="575" spans="1:24">
      <c r="A575" s="12"/>
      <c r="B575" s="12"/>
      <c r="C575" s="12"/>
      <c r="D575" s="12"/>
      <c r="E575" s="12"/>
      <c r="F575" s="12"/>
      <c r="G575" s="12"/>
      <c r="H575" s="12"/>
      <c r="I575" s="12"/>
      <c r="J575" s="14"/>
      <c r="K575" s="12"/>
      <c r="L575" s="14"/>
      <c r="M575" s="12"/>
      <c r="N575" s="12"/>
      <c r="O575" s="14"/>
      <c r="P575" s="12"/>
      <c r="Q575" s="15"/>
      <c r="R575" s="15"/>
      <c r="S575" s="21"/>
      <c r="T575" s="12"/>
      <c r="U575" s="12"/>
      <c r="V575" s="22"/>
      <c r="W575" s="22" t="str">
        <f t="array" ref="W575">IF(A575="","",IFERROR(INDEX(PARAMETROS!$J$2:$J700,MATCH(H575,PARAMETROS!$E$2:$E700,0)),""))</f>
        <v/>
      </c>
      <c r="X575" s="23" t="str">
        <f t="shared" si="2"/>
        <v/>
      </c>
    </row>
    <row r="576" spans="1:24">
      <c r="A576" s="12"/>
      <c r="B576" s="12"/>
      <c r="C576" s="12"/>
      <c r="D576" s="12"/>
      <c r="E576" s="12"/>
      <c r="F576" s="12"/>
      <c r="G576" s="12"/>
      <c r="H576" s="12"/>
      <c r="I576" s="12"/>
      <c r="J576" s="14"/>
      <c r="K576" s="12"/>
      <c r="L576" s="14"/>
      <c r="M576" s="12"/>
      <c r="N576" s="12"/>
      <c r="O576" s="14"/>
      <c r="P576" s="12"/>
      <c r="Q576" s="15"/>
      <c r="R576" s="15"/>
      <c r="S576" s="21"/>
      <c r="T576" s="12"/>
      <c r="U576" s="12"/>
      <c r="V576" s="22"/>
      <c r="W576" s="22" t="str">
        <f t="array" ref="W576">IF(A576="","",IFERROR(INDEX(PARAMETROS!$J$2:$J700,MATCH(H576,PARAMETROS!$E$2:$E700,0)),""))</f>
        <v/>
      </c>
      <c r="X576" s="23" t="str">
        <f t="shared" si="2"/>
        <v/>
      </c>
    </row>
    <row r="577" spans="1:24">
      <c r="A577" s="12"/>
      <c r="B577" s="12"/>
      <c r="C577" s="12"/>
      <c r="D577" s="12"/>
      <c r="E577" s="12"/>
      <c r="F577" s="12"/>
      <c r="G577" s="12"/>
      <c r="H577" s="12"/>
      <c r="I577" s="12"/>
      <c r="J577" s="14"/>
      <c r="K577" s="12"/>
      <c r="L577" s="14"/>
      <c r="M577" s="12"/>
      <c r="N577" s="12"/>
      <c r="O577" s="14"/>
      <c r="P577" s="12"/>
      <c r="Q577" s="15"/>
      <c r="R577" s="15"/>
      <c r="S577" s="21"/>
      <c r="T577" s="12"/>
      <c r="U577" s="12"/>
      <c r="V577" s="22"/>
      <c r="W577" s="22" t="str">
        <f t="array" ref="W577">IF(A577="","",IFERROR(INDEX(PARAMETROS!$J$2:$J700,MATCH(H577,PARAMETROS!$E$2:$E700,0)),""))</f>
        <v/>
      </c>
      <c r="X577" s="23" t="str">
        <f t="shared" si="2"/>
        <v/>
      </c>
    </row>
    <row r="578" spans="1:24">
      <c r="A578" s="12"/>
      <c r="B578" s="12"/>
      <c r="C578" s="12"/>
      <c r="D578" s="12"/>
      <c r="E578" s="12"/>
      <c r="F578" s="12"/>
      <c r="G578" s="12"/>
      <c r="H578" s="12"/>
      <c r="I578" s="12"/>
      <c r="J578" s="14"/>
      <c r="K578" s="12"/>
      <c r="L578" s="14"/>
      <c r="M578" s="12"/>
      <c r="N578" s="12"/>
      <c r="O578" s="14"/>
      <c r="P578" s="12"/>
      <c r="Q578" s="15"/>
      <c r="R578" s="15"/>
      <c r="S578" s="21"/>
      <c r="T578" s="12"/>
      <c r="U578" s="12"/>
      <c r="V578" s="22"/>
      <c r="W578" s="22" t="str">
        <f t="array" ref="W578">IF(A578="","",IFERROR(INDEX(PARAMETROS!$J$2:$J700,MATCH(H578,PARAMETROS!$E$2:$E700,0)),""))</f>
        <v/>
      </c>
      <c r="X578" s="23" t="str">
        <f t="shared" si="2"/>
        <v/>
      </c>
    </row>
    <row r="579" spans="1:24">
      <c r="A579" s="12"/>
      <c r="B579" s="12"/>
      <c r="C579" s="12"/>
      <c r="D579" s="12"/>
      <c r="E579" s="12"/>
      <c r="F579" s="12"/>
      <c r="G579" s="12"/>
      <c r="H579" s="12"/>
      <c r="I579" s="12"/>
      <c r="J579" s="14"/>
      <c r="K579" s="12"/>
      <c r="L579" s="14"/>
      <c r="M579" s="12"/>
      <c r="N579" s="12"/>
      <c r="O579" s="14"/>
      <c r="P579" s="12"/>
      <c r="Q579" s="15"/>
      <c r="R579" s="15"/>
      <c r="S579" s="21"/>
      <c r="T579" s="12"/>
      <c r="U579" s="12"/>
      <c r="V579" s="22"/>
      <c r="W579" s="22" t="str">
        <f t="array" ref="W579">IF(A579="","",IFERROR(INDEX(PARAMETROS!$J$2:$J700,MATCH(H579,PARAMETROS!$E$2:$E700,0)),""))</f>
        <v/>
      </c>
      <c r="X579" s="23" t="str">
        <f t="shared" si="2"/>
        <v/>
      </c>
    </row>
    <row r="580" spans="1:24">
      <c r="A580" s="12"/>
      <c r="B580" s="12"/>
      <c r="C580" s="12"/>
      <c r="D580" s="12"/>
      <c r="E580" s="12"/>
      <c r="F580" s="12"/>
      <c r="G580" s="12"/>
      <c r="H580" s="12"/>
      <c r="I580" s="12"/>
      <c r="J580" s="14"/>
      <c r="K580" s="12"/>
      <c r="L580" s="14"/>
      <c r="M580" s="12"/>
      <c r="N580" s="12"/>
      <c r="O580" s="14"/>
      <c r="P580" s="12"/>
      <c r="Q580" s="15"/>
      <c r="R580" s="15"/>
      <c r="S580" s="21"/>
      <c r="T580" s="12"/>
      <c r="U580" s="12"/>
      <c r="V580" s="22"/>
      <c r="W580" s="22" t="str">
        <f t="array" ref="W580">IF(A580="","",IFERROR(INDEX(PARAMETROS!$J$2:$J700,MATCH(H580,PARAMETROS!$E$2:$E700,0)),""))</f>
        <v/>
      </c>
      <c r="X580" s="23" t="str">
        <f t="shared" si="2"/>
        <v/>
      </c>
    </row>
    <row r="581" spans="1:24">
      <c r="A581" s="12"/>
      <c r="B581" s="12"/>
      <c r="C581" s="12"/>
      <c r="D581" s="12"/>
      <c r="E581" s="12"/>
      <c r="F581" s="12"/>
      <c r="G581" s="12"/>
      <c r="H581" s="12"/>
      <c r="I581" s="12"/>
      <c r="J581" s="14"/>
      <c r="K581" s="12"/>
      <c r="L581" s="14"/>
      <c r="M581" s="12"/>
      <c r="N581" s="12"/>
      <c r="O581" s="14"/>
      <c r="P581" s="12"/>
      <c r="Q581" s="15"/>
      <c r="R581" s="15"/>
      <c r="S581" s="21"/>
      <c r="T581" s="12"/>
      <c r="U581" s="12"/>
      <c r="V581" s="22"/>
      <c r="W581" s="22" t="str">
        <f t="array" ref="W581">IF(A581="","",IFERROR(INDEX(PARAMETROS!$J$2:$J700,MATCH(H581,PARAMETROS!$E$2:$E700,0)),""))</f>
        <v/>
      </c>
      <c r="X581" s="23" t="str">
        <f t="shared" si="2"/>
        <v/>
      </c>
    </row>
    <row r="582" spans="1:24">
      <c r="A582" s="12"/>
      <c r="B582" s="12"/>
      <c r="C582" s="12"/>
      <c r="D582" s="12"/>
      <c r="E582" s="12"/>
      <c r="F582" s="12"/>
      <c r="G582" s="12"/>
      <c r="H582" s="12"/>
      <c r="I582" s="12"/>
      <c r="J582" s="14"/>
      <c r="K582" s="12"/>
      <c r="L582" s="14"/>
      <c r="M582" s="12"/>
      <c r="N582" s="12"/>
      <c r="O582" s="14"/>
      <c r="P582" s="12"/>
      <c r="Q582" s="15"/>
      <c r="R582" s="15"/>
      <c r="S582" s="21"/>
      <c r="T582" s="12"/>
      <c r="U582" s="12"/>
      <c r="V582" s="22"/>
      <c r="W582" s="22" t="str">
        <f t="array" ref="W582">IF(A582="","",IFERROR(INDEX(PARAMETROS!$J$2:$J700,MATCH(H582,PARAMETROS!$E$2:$E700,0)),""))</f>
        <v/>
      </c>
      <c r="X582" s="23" t="str">
        <f t="shared" si="2"/>
        <v/>
      </c>
    </row>
    <row r="583" spans="1:24">
      <c r="A583" s="12"/>
      <c r="B583" s="12"/>
      <c r="C583" s="12"/>
      <c r="D583" s="12"/>
      <c r="E583" s="12"/>
      <c r="F583" s="12"/>
      <c r="G583" s="12"/>
      <c r="H583" s="12"/>
      <c r="I583" s="12"/>
      <c r="J583" s="14"/>
      <c r="K583" s="12"/>
      <c r="L583" s="14"/>
      <c r="M583" s="12"/>
      <c r="N583" s="12"/>
      <c r="O583" s="14"/>
      <c r="P583" s="12"/>
      <c r="Q583" s="15"/>
      <c r="R583" s="15"/>
      <c r="S583" s="21"/>
      <c r="T583" s="12"/>
      <c r="U583" s="12"/>
      <c r="V583" s="22"/>
      <c r="W583" s="22" t="str">
        <f t="array" ref="W583">IF(A583="","",IFERROR(INDEX(PARAMETROS!$J$2:$J700,MATCH(H583,PARAMETROS!$E$2:$E700,0)),""))</f>
        <v/>
      </c>
      <c r="X583" s="23" t="str">
        <f t="shared" si="2"/>
        <v/>
      </c>
    </row>
    <row r="584" spans="1:24">
      <c r="A584" s="12"/>
      <c r="B584" s="12"/>
      <c r="C584" s="12"/>
      <c r="D584" s="12"/>
      <c r="E584" s="12"/>
      <c r="F584" s="12"/>
      <c r="G584" s="12"/>
      <c r="H584" s="12"/>
      <c r="I584" s="12"/>
      <c r="J584" s="14"/>
      <c r="K584" s="12"/>
      <c r="L584" s="14"/>
      <c r="M584" s="12"/>
      <c r="N584" s="12"/>
      <c r="O584" s="14"/>
      <c r="P584" s="12"/>
      <c r="Q584" s="15"/>
      <c r="R584" s="15"/>
      <c r="S584" s="21"/>
      <c r="T584" s="12"/>
      <c r="U584" s="12"/>
      <c r="V584" s="22"/>
      <c r="W584" s="22" t="str">
        <f t="array" ref="W584">IF(A584="","",IFERROR(INDEX(PARAMETROS!$J$2:$J700,MATCH(H584,PARAMETROS!$E$2:$E700,0)),""))</f>
        <v/>
      </c>
      <c r="X584" s="23" t="str">
        <f t="shared" si="2"/>
        <v/>
      </c>
    </row>
    <row r="585" spans="1:24">
      <c r="A585" s="12"/>
      <c r="B585" s="12"/>
      <c r="C585" s="12"/>
      <c r="D585" s="12"/>
      <c r="E585" s="12"/>
      <c r="F585" s="12"/>
      <c r="G585" s="12"/>
      <c r="H585" s="12"/>
      <c r="I585" s="12"/>
      <c r="J585" s="14"/>
      <c r="K585" s="12"/>
      <c r="L585" s="14"/>
      <c r="M585" s="12"/>
      <c r="N585" s="12"/>
      <c r="O585" s="14"/>
      <c r="P585" s="12"/>
      <c r="Q585" s="15"/>
      <c r="R585" s="15"/>
      <c r="S585" s="21"/>
      <c r="T585" s="12"/>
      <c r="U585" s="12"/>
      <c r="V585" s="22"/>
      <c r="W585" s="22" t="str">
        <f t="array" ref="W585">IF(A585="","",IFERROR(INDEX(PARAMETROS!$J$2:$J700,MATCH(H585,PARAMETROS!$E$2:$E700,0)),""))</f>
        <v/>
      </c>
      <c r="X585" s="23" t="str">
        <f t="shared" si="2"/>
        <v/>
      </c>
    </row>
    <row r="586" spans="1:24">
      <c r="A586" s="12"/>
      <c r="B586" s="12"/>
      <c r="C586" s="12"/>
      <c r="D586" s="12"/>
      <c r="E586" s="12"/>
      <c r="F586" s="12"/>
      <c r="G586" s="12"/>
      <c r="H586" s="12"/>
      <c r="I586" s="12"/>
      <c r="J586" s="14"/>
      <c r="K586" s="12"/>
      <c r="L586" s="14"/>
      <c r="M586" s="12"/>
      <c r="N586" s="12"/>
      <c r="O586" s="14"/>
      <c r="P586" s="12"/>
      <c r="Q586" s="15"/>
      <c r="R586" s="15"/>
      <c r="S586" s="21"/>
      <c r="T586" s="12"/>
      <c r="U586" s="12"/>
      <c r="V586" s="22"/>
      <c r="W586" s="22" t="str">
        <f t="array" ref="W586">IF(A586="","",IFERROR(INDEX(PARAMETROS!$J$2:$J700,MATCH(H586,PARAMETROS!$E$2:$E700,0)),""))</f>
        <v/>
      </c>
      <c r="X586" s="23" t="str">
        <f t="shared" si="2"/>
        <v/>
      </c>
    </row>
    <row r="587" spans="1:24">
      <c r="A587" s="12"/>
      <c r="B587" s="12"/>
      <c r="C587" s="12"/>
      <c r="D587" s="12"/>
      <c r="E587" s="12"/>
      <c r="F587" s="12"/>
      <c r="G587" s="12"/>
      <c r="H587" s="12"/>
      <c r="I587" s="12"/>
      <c r="J587" s="14"/>
      <c r="K587" s="12"/>
      <c r="L587" s="14"/>
      <c r="M587" s="12"/>
      <c r="N587" s="12"/>
      <c r="O587" s="14"/>
      <c r="P587" s="12"/>
      <c r="Q587" s="15"/>
      <c r="R587" s="15"/>
      <c r="S587" s="21"/>
      <c r="T587" s="12"/>
      <c r="U587" s="12"/>
      <c r="V587" s="22"/>
      <c r="W587" s="22" t="str">
        <f t="array" ref="W587">IF(A587="","",IFERROR(INDEX(PARAMETROS!$J$2:$J700,MATCH(H587,PARAMETROS!$E$2:$E700,0)),""))</f>
        <v/>
      </c>
      <c r="X587" s="23" t="str">
        <f t="shared" si="2"/>
        <v/>
      </c>
    </row>
    <row r="588" spans="1:24">
      <c r="A588" s="12"/>
      <c r="B588" s="12"/>
      <c r="C588" s="12"/>
      <c r="D588" s="12"/>
      <c r="E588" s="12"/>
      <c r="F588" s="12"/>
      <c r="G588" s="12"/>
      <c r="H588" s="12"/>
      <c r="I588" s="12"/>
      <c r="J588" s="14"/>
      <c r="K588" s="12"/>
      <c r="L588" s="14"/>
      <c r="M588" s="12"/>
      <c r="N588" s="12"/>
      <c r="O588" s="14"/>
      <c r="P588" s="12"/>
      <c r="Q588" s="15"/>
      <c r="R588" s="15"/>
      <c r="S588" s="21"/>
      <c r="T588" s="12"/>
      <c r="U588" s="12"/>
      <c r="V588" s="22"/>
      <c r="W588" s="22" t="str">
        <f t="array" ref="W588">IF(A588="","",IFERROR(INDEX(PARAMETROS!$J$2:$J700,MATCH(H588,PARAMETROS!$E$2:$E700,0)),""))</f>
        <v/>
      </c>
      <c r="X588" s="23" t="str">
        <f t="shared" si="2"/>
        <v/>
      </c>
    </row>
    <row r="589" spans="1:24">
      <c r="A589" s="12"/>
      <c r="B589" s="12"/>
      <c r="C589" s="12"/>
      <c r="D589" s="12"/>
      <c r="E589" s="12"/>
      <c r="F589" s="12"/>
      <c r="G589" s="12"/>
      <c r="H589" s="12"/>
      <c r="I589" s="12"/>
      <c r="J589" s="14"/>
      <c r="K589" s="12"/>
      <c r="L589" s="14"/>
      <c r="M589" s="12"/>
      <c r="N589" s="12"/>
      <c r="O589" s="14"/>
      <c r="P589" s="12"/>
      <c r="Q589" s="15"/>
      <c r="R589" s="15"/>
      <c r="S589" s="21"/>
      <c r="T589" s="12"/>
      <c r="U589" s="12"/>
      <c r="V589" s="22"/>
      <c r="W589" s="22" t="str">
        <f t="array" ref="W589">IF(A589="","",IFERROR(INDEX(PARAMETROS!$J$2:$J700,MATCH(H589,PARAMETROS!$E$2:$E700,0)),""))</f>
        <v/>
      </c>
      <c r="X589" s="23" t="str">
        <f t="shared" si="2"/>
        <v/>
      </c>
    </row>
    <row r="590" spans="1:24">
      <c r="A590" s="12"/>
      <c r="B590" s="12"/>
      <c r="C590" s="12"/>
      <c r="D590" s="12"/>
      <c r="E590" s="12"/>
      <c r="F590" s="12"/>
      <c r="G590" s="12"/>
      <c r="H590" s="12"/>
      <c r="I590" s="12"/>
      <c r="J590" s="14"/>
      <c r="K590" s="12"/>
      <c r="L590" s="14"/>
      <c r="M590" s="12"/>
      <c r="N590" s="12"/>
      <c r="O590" s="14"/>
      <c r="P590" s="12"/>
      <c r="Q590" s="15"/>
      <c r="R590" s="15"/>
      <c r="S590" s="21"/>
      <c r="T590" s="12"/>
      <c r="U590" s="12"/>
      <c r="V590" s="22"/>
      <c r="W590" s="22" t="str">
        <f t="array" ref="W590">IF(A590="","",IFERROR(INDEX(PARAMETROS!$J$2:$J700,MATCH(H590,PARAMETROS!$E$2:$E700,0)),""))</f>
        <v/>
      </c>
      <c r="X590" s="23" t="str">
        <f t="shared" si="2"/>
        <v/>
      </c>
    </row>
    <row r="591" spans="1:24">
      <c r="A591" s="12"/>
      <c r="B591" s="12"/>
      <c r="C591" s="12"/>
      <c r="D591" s="12"/>
      <c r="E591" s="12"/>
      <c r="F591" s="12"/>
      <c r="G591" s="12"/>
      <c r="H591" s="12"/>
      <c r="I591" s="12"/>
      <c r="J591" s="14"/>
      <c r="K591" s="12"/>
      <c r="L591" s="14"/>
      <c r="M591" s="12"/>
      <c r="N591" s="12"/>
      <c r="O591" s="14"/>
      <c r="P591" s="12"/>
      <c r="Q591" s="15"/>
      <c r="R591" s="15"/>
      <c r="S591" s="21"/>
      <c r="T591" s="12"/>
      <c r="U591" s="12"/>
      <c r="V591" s="22"/>
      <c r="W591" s="22" t="str">
        <f t="array" ref="W591">IF(A591="","",IFERROR(INDEX(PARAMETROS!$J$2:$J700,MATCH(H591,PARAMETROS!$E$2:$E700,0)),""))</f>
        <v/>
      </c>
      <c r="X591" s="23" t="str">
        <f t="shared" si="2"/>
        <v/>
      </c>
    </row>
    <row r="592" spans="1:24">
      <c r="A592" s="12"/>
      <c r="B592" s="12"/>
      <c r="C592" s="12"/>
      <c r="D592" s="12"/>
      <c r="E592" s="12"/>
      <c r="F592" s="12"/>
      <c r="G592" s="12"/>
      <c r="H592" s="12"/>
      <c r="I592" s="12"/>
      <c r="J592" s="14"/>
      <c r="K592" s="12"/>
      <c r="L592" s="14"/>
      <c r="M592" s="12"/>
      <c r="N592" s="12"/>
      <c r="O592" s="14"/>
      <c r="P592" s="12"/>
      <c r="Q592" s="15"/>
      <c r="R592" s="15"/>
      <c r="S592" s="21"/>
      <c r="T592" s="12"/>
      <c r="U592" s="12"/>
      <c r="V592" s="22"/>
      <c r="W592" s="22" t="str">
        <f t="array" ref="W592">IF(A592="","",IFERROR(INDEX(PARAMETROS!$J$2:$J700,MATCH(H592,PARAMETROS!$E$2:$E700,0)),""))</f>
        <v/>
      </c>
      <c r="X592" s="23" t="str">
        <f t="shared" si="2"/>
        <v/>
      </c>
    </row>
    <row r="593" spans="1:24">
      <c r="A593" s="12"/>
      <c r="B593" s="12"/>
      <c r="C593" s="12"/>
      <c r="D593" s="12"/>
      <c r="E593" s="12"/>
      <c r="F593" s="12"/>
      <c r="G593" s="12"/>
      <c r="H593" s="12"/>
      <c r="I593" s="12"/>
      <c r="J593" s="14"/>
      <c r="K593" s="12"/>
      <c r="L593" s="14"/>
      <c r="M593" s="12"/>
      <c r="N593" s="12"/>
      <c r="O593" s="14"/>
      <c r="P593" s="12"/>
      <c r="Q593" s="15"/>
      <c r="R593" s="15"/>
      <c r="S593" s="21"/>
      <c r="T593" s="12"/>
      <c r="U593" s="12"/>
      <c r="V593" s="22"/>
      <c r="W593" s="22" t="str">
        <f t="array" ref="W593">IF(A593="","",IFERROR(INDEX(PARAMETROS!$J$2:$J700,MATCH(H593,PARAMETROS!$E$2:$E700,0)),""))</f>
        <v/>
      </c>
      <c r="X593" s="23" t="str">
        <f t="shared" si="2"/>
        <v/>
      </c>
    </row>
    <row r="594" spans="1:24">
      <c r="A594" s="12"/>
      <c r="B594" s="12"/>
      <c r="C594" s="12"/>
      <c r="D594" s="12"/>
      <c r="E594" s="12"/>
      <c r="F594" s="12"/>
      <c r="G594" s="12"/>
      <c r="H594" s="12"/>
      <c r="I594" s="12"/>
      <c r="J594" s="14"/>
      <c r="K594" s="12"/>
      <c r="L594" s="14"/>
      <c r="M594" s="12"/>
      <c r="N594" s="12"/>
      <c r="O594" s="14"/>
      <c r="P594" s="12"/>
      <c r="Q594" s="15"/>
      <c r="R594" s="15"/>
      <c r="S594" s="21"/>
      <c r="T594" s="12"/>
      <c r="U594" s="12"/>
      <c r="V594" s="22"/>
      <c r="W594" s="22" t="str">
        <f t="array" ref="W594">IF(A594="","",IFERROR(INDEX(PARAMETROS!$J$2:$J700,MATCH(H594,PARAMETROS!$E$2:$E700,0)),""))</f>
        <v/>
      </c>
      <c r="X594" s="23" t="str">
        <f t="shared" si="2"/>
        <v/>
      </c>
    </row>
    <row r="595" spans="1:24">
      <c r="A595" s="12"/>
      <c r="B595" s="12"/>
      <c r="C595" s="12"/>
      <c r="D595" s="12"/>
      <c r="E595" s="12"/>
      <c r="F595" s="12"/>
      <c r="G595" s="12"/>
      <c r="H595" s="12"/>
      <c r="I595" s="12"/>
      <c r="J595" s="14"/>
      <c r="K595" s="12"/>
      <c r="L595" s="14"/>
      <c r="M595" s="12"/>
      <c r="N595" s="12"/>
      <c r="O595" s="14"/>
      <c r="P595" s="12"/>
      <c r="Q595" s="15"/>
      <c r="R595" s="15"/>
      <c r="S595" s="21"/>
      <c r="T595" s="12"/>
      <c r="U595" s="12"/>
      <c r="V595" s="22"/>
      <c r="W595" s="22" t="str">
        <f t="array" ref="W595">IF(A595="","",IFERROR(INDEX(PARAMETROS!$J$2:$J700,MATCH(H595,PARAMETROS!$E$2:$E700,0)),""))</f>
        <v/>
      </c>
      <c r="X595" s="23" t="str">
        <f t="shared" si="2"/>
        <v/>
      </c>
    </row>
    <row r="596" spans="1:24">
      <c r="A596" s="12"/>
      <c r="B596" s="12"/>
      <c r="C596" s="12"/>
      <c r="D596" s="12"/>
      <c r="E596" s="12"/>
      <c r="F596" s="12"/>
      <c r="G596" s="12"/>
      <c r="H596" s="12"/>
      <c r="I596" s="12"/>
      <c r="J596" s="14"/>
      <c r="K596" s="12"/>
      <c r="L596" s="14"/>
      <c r="M596" s="12"/>
      <c r="N596" s="12"/>
      <c r="O596" s="14"/>
      <c r="P596" s="12"/>
      <c r="Q596" s="15"/>
      <c r="R596" s="15"/>
      <c r="S596" s="21"/>
      <c r="T596" s="12"/>
      <c r="U596" s="12"/>
      <c r="V596" s="22"/>
      <c r="W596" s="22" t="str">
        <f t="array" ref="W596">IF(A596="","",IFERROR(INDEX(PARAMETROS!$J$2:$J700,MATCH(H596,PARAMETROS!$E$2:$E700,0)),""))</f>
        <v/>
      </c>
      <c r="X596" s="23" t="str">
        <f t="shared" si="2"/>
        <v/>
      </c>
    </row>
    <row r="597" spans="1:24">
      <c r="A597" s="12"/>
      <c r="B597" s="12"/>
      <c r="C597" s="12"/>
      <c r="D597" s="12"/>
      <c r="E597" s="12"/>
      <c r="F597" s="12"/>
      <c r="G597" s="12"/>
      <c r="H597" s="12"/>
      <c r="I597" s="12"/>
      <c r="J597" s="14"/>
      <c r="K597" s="12"/>
      <c r="L597" s="14"/>
      <c r="M597" s="12"/>
      <c r="N597" s="12"/>
      <c r="O597" s="14"/>
      <c r="P597" s="12"/>
      <c r="Q597" s="15"/>
      <c r="R597" s="15"/>
      <c r="S597" s="21"/>
      <c r="T597" s="12"/>
      <c r="U597" s="12"/>
      <c r="V597" s="22"/>
      <c r="W597" s="22" t="str">
        <f t="array" ref="W597">IF(A597="","",IFERROR(INDEX(PARAMETROS!$J$2:$J700,MATCH(H597,PARAMETROS!$E$2:$E700,0)),""))</f>
        <v/>
      </c>
      <c r="X597" s="23" t="str">
        <f t="shared" si="2"/>
        <v/>
      </c>
    </row>
    <row r="598" spans="1:24">
      <c r="A598" s="12"/>
      <c r="B598" s="12"/>
      <c r="C598" s="12"/>
      <c r="D598" s="12"/>
      <c r="E598" s="12"/>
      <c r="F598" s="12"/>
      <c r="G598" s="12"/>
      <c r="H598" s="12"/>
      <c r="I598" s="12"/>
      <c r="J598" s="14"/>
      <c r="K598" s="12"/>
      <c r="L598" s="14"/>
      <c r="M598" s="12"/>
      <c r="N598" s="12"/>
      <c r="O598" s="14"/>
      <c r="P598" s="12"/>
      <c r="Q598" s="15"/>
      <c r="R598" s="15"/>
      <c r="S598" s="21"/>
      <c r="T598" s="12"/>
      <c r="U598" s="12"/>
      <c r="V598" s="22"/>
      <c r="W598" s="22" t="str">
        <f t="array" ref="W598">IF(A598="","",IFERROR(INDEX(PARAMETROS!$J$2:$J700,MATCH(H598,PARAMETROS!$E$2:$E700,0)),""))</f>
        <v/>
      </c>
      <c r="X598" s="23" t="str">
        <f t="shared" si="2"/>
        <v/>
      </c>
    </row>
    <row r="599" spans="1:24">
      <c r="A599" s="12"/>
      <c r="B599" s="12"/>
      <c r="C599" s="12"/>
      <c r="D599" s="12"/>
      <c r="E599" s="12"/>
      <c r="F599" s="12"/>
      <c r="G599" s="12"/>
      <c r="H599" s="12"/>
      <c r="I599" s="12"/>
      <c r="J599" s="14"/>
      <c r="K599" s="12"/>
      <c r="L599" s="14"/>
      <c r="M599" s="12"/>
      <c r="N599" s="12"/>
      <c r="O599" s="14"/>
      <c r="P599" s="12"/>
      <c r="Q599" s="15"/>
      <c r="R599" s="15"/>
      <c r="S599" s="21"/>
      <c r="T599" s="12"/>
      <c r="U599" s="12"/>
      <c r="V599" s="22"/>
      <c r="W599" s="22" t="str">
        <f t="array" ref="W599">IF(A599="","",IFERROR(INDEX(PARAMETROS!$J$2:$J700,MATCH(H599,PARAMETROS!$E$2:$E700,0)),""))</f>
        <v/>
      </c>
      <c r="X599" s="23" t="str">
        <f t="shared" si="2"/>
        <v/>
      </c>
    </row>
    <row r="600" spans="1:24">
      <c r="A600" s="12"/>
      <c r="B600" s="12"/>
      <c r="C600" s="12"/>
      <c r="D600" s="12"/>
      <c r="E600" s="12"/>
      <c r="F600" s="12"/>
      <c r="G600" s="12"/>
      <c r="H600" s="12"/>
      <c r="I600" s="12"/>
      <c r="J600" s="14"/>
      <c r="K600" s="12"/>
      <c r="L600" s="14"/>
      <c r="M600" s="12"/>
      <c r="N600" s="12"/>
      <c r="O600" s="14"/>
      <c r="P600" s="12"/>
      <c r="Q600" s="15"/>
      <c r="R600" s="15"/>
      <c r="S600" s="21"/>
      <c r="T600" s="12"/>
      <c r="U600" s="12"/>
      <c r="V600" s="22"/>
      <c r="W600" s="22" t="str">
        <f t="array" ref="W600">IF(A600="","",IFERROR(INDEX(PARAMETROS!$J$2:$J700,MATCH(H600,PARAMETROS!$E$2:$E700,0)),""))</f>
        <v/>
      </c>
      <c r="X600" s="23" t="str">
        <f t="shared" si="2"/>
        <v/>
      </c>
    </row>
    <row r="601" spans="1:24">
      <c r="A601" s="12"/>
      <c r="B601" s="12"/>
      <c r="C601" s="12"/>
      <c r="D601" s="12"/>
      <c r="E601" s="12"/>
      <c r="F601" s="12"/>
      <c r="G601" s="12"/>
      <c r="H601" s="12"/>
      <c r="I601" s="12"/>
      <c r="J601" s="14"/>
      <c r="K601" s="12"/>
      <c r="L601" s="14"/>
      <c r="M601" s="12"/>
      <c r="N601" s="12"/>
      <c r="O601" s="14"/>
      <c r="P601" s="12"/>
      <c r="Q601" s="15"/>
      <c r="R601" s="15"/>
      <c r="S601" s="21"/>
      <c r="T601" s="12"/>
      <c r="U601" s="12"/>
      <c r="V601" s="22"/>
      <c r="W601" s="22" t="str">
        <f t="array" ref="W601">IF(A601="","",IFERROR(INDEX(PARAMETROS!$J$2:$J700,MATCH(H601,PARAMETROS!$E$2:$E700,0)),""))</f>
        <v/>
      </c>
      <c r="X601" s="23" t="str">
        <f t="shared" si="2"/>
        <v/>
      </c>
    </row>
    <row r="602" spans="1:24">
      <c r="A602" s="12"/>
      <c r="B602" s="12"/>
      <c r="C602" s="12"/>
      <c r="D602" s="12"/>
      <c r="E602" s="12"/>
      <c r="F602" s="12"/>
      <c r="G602" s="12"/>
      <c r="H602" s="12"/>
      <c r="I602" s="12"/>
      <c r="J602" s="14"/>
      <c r="K602" s="12"/>
      <c r="L602" s="14"/>
      <c r="M602" s="12"/>
      <c r="N602" s="12"/>
      <c r="O602" s="14"/>
      <c r="P602" s="12"/>
      <c r="Q602" s="15"/>
      <c r="R602" s="15"/>
      <c r="S602" s="21"/>
      <c r="T602" s="12"/>
      <c r="U602" s="12"/>
      <c r="V602" s="22"/>
      <c r="W602" s="22" t="str">
        <f t="array" ref="W602">IF(A602="","",IFERROR(INDEX(PARAMETROS!$J$2:$J700,MATCH(H602,PARAMETROS!$E$2:$E700,0)),""))</f>
        <v/>
      </c>
      <c r="X602" s="23" t="str">
        <f t="shared" si="2"/>
        <v/>
      </c>
    </row>
    <row r="603" spans="1:24">
      <c r="A603" s="12"/>
      <c r="B603" s="12"/>
      <c r="C603" s="12"/>
      <c r="D603" s="12"/>
      <c r="E603" s="12"/>
      <c r="F603" s="12"/>
      <c r="G603" s="12"/>
      <c r="H603" s="12"/>
      <c r="I603" s="12"/>
      <c r="J603" s="14"/>
      <c r="K603" s="12"/>
      <c r="L603" s="14"/>
      <c r="M603" s="12"/>
      <c r="N603" s="12"/>
      <c r="O603" s="14"/>
      <c r="P603" s="12"/>
      <c r="Q603" s="15"/>
      <c r="R603" s="15"/>
      <c r="S603" s="21"/>
      <c r="T603" s="12"/>
      <c r="U603" s="12"/>
      <c r="V603" s="22"/>
      <c r="W603" s="22" t="str">
        <f t="array" ref="W603">IF(A603="","",IFERROR(INDEX(PARAMETROS!$J$2:$J700,MATCH(H603,PARAMETROS!$E$2:$E700,0)),""))</f>
        <v/>
      </c>
      <c r="X603" s="23" t="str">
        <f t="shared" si="2"/>
        <v/>
      </c>
    </row>
    <row r="604" spans="1:24">
      <c r="A604" s="12"/>
      <c r="B604" s="12"/>
      <c r="C604" s="12"/>
      <c r="D604" s="12"/>
      <c r="E604" s="12"/>
      <c r="F604" s="12"/>
      <c r="G604" s="12"/>
      <c r="H604" s="12"/>
      <c r="I604" s="12"/>
      <c r="J604" s="14"/>
      <c r="K604" s="12"/>
      <c r="L604" s="14"/>
      <c r="M604" s="12"/>
      <c r="N604" s="12"/>
      <c r="O604" s="14"/>
      <c r="P604" s="12"/>
      <c r="Q604" s="15"/>
      <c r="R604" s="15"/>
      <c r="S604" s="21"/>
      <c r="T604" s="12"/>
      <c r="U604" s="12"/>
      <c r="V604" s="22"/>
      <c r="W604" s="22" t="str">
        <f t="array" ref="W604">IF(A604="","",IFERROR(INDEX(PARAMETROS!$J$2:$J700,MATCH(H604,PARAMETROS!$E$2:$E700,0)),""))</f>
        <v/>
      </c>
      <c r="X604" s="23" t="str">
        <f t="shared" si="2"/>
        <v/>
      </c>
    </row>
    <row r="605" spans="1:24">
      <c r="A605" s="12"/>
      <c r="B605" s="12"/>
      <c r="C605" s="12"/>
      <c r="D605" s="12"/>
      <c r="E605" s="12"/>
      <c r="F605" s="12"/>
      <c r="G605" s="12"/>
      <c r="H605" s="12"/>
      <c r="I605" s="12"/>
      <c r="J605" s="14"/>
      <c r="K605" s="12"/>
      <c r="L605" s="14"/>
      <c r="M605" s="12"/>
      <c r="N605" s="12"/>
      <c r="O605" s="14"/>
      <c r="P605" s="12"/>
      <c r="Q605" s="15"/>
      <c r="R605" s="15"/>
      <c r="S605" s="21"/>
      <c r="T605" s="12"/>
      <c r="U605" s="12"/>
      <c r="V605" s="22"/>
      <c r="W605" s="22" t="str">
        <f t="array" ref="W605">IF(A605="","",IFERROR(INDEX(PARAMETROS!$J$2:$J700,MATCH(H605,PARAMETROS!$E$2:$E700,0)),""))</f>
        <v/>
      </c>
      <c r="X605" s="23" t="str">
        <f t="shared" si="2"/>
        <v/>
      </c>
    </row>
    <row r="606" spans="1:24">
      <c r="A606" s="12"/>
      <c r="B606" s="12"/>
      <c r="C606" s="12"/>
      <c r="D606" s="12"/>
      <c r="E606" s="12"/>
      <c r="F606" s="12"/>
      <c r="G606" s="12"/>
      <c r="H606" s="12"/>
      <c r="I606" s="12"/>
      <c r="J606" s="14"/>
      <c r="K606" s="12"/>
      <c r="L606" s="14"/>
      <c r="M606" s="12"/>
      <c r="N606" s="12"/>
      <c r="O606" s="14"/>
      <c r="P606" s="12"/>
      <c r="Q606" s="15"/>
      <c r="R606" s="15"/>
      <c r="S606" s="21"/>
      <c r="T606" s="12"/>
      <c r="U606" s="12"/>
      <c r="V606" s="22"/>
      <c r="W606" s="22" t="str">
        <f t="array" ref="W606">IF(A606="","",IFERROR(INDEX(PARAMETROS!$J$2:$J700,MATCH(H606,PARAMETROS!$E$2:$E700,0)),""))</f>
        <v/>
      </c>
      <c r="X606" s="23" t="str">
        <f t="shared" si="2"/>
        <v/>
      </c>
    </row>
    <row r="607" spans="1:24">
      <c r="A607" s="12"/>
      <c r="B607" s="12"/>
      <c r="C607" s="12"/>
      <c r="D607" s="12"/>
      <c r="E607" s="12"/>
      <c r="F607" s="12"/>
      <c r="G607" s="12"/>
      <c r="H607" s="12"/>
      <c r="I607" s="12"/>
      <c r="J607" s="14"/>
      <c r="K607" s="12"/>
      <c r="L607" s="14"/>
      <c r="M607" s="12"/>
      <c r="N607" s="12"/>
      <c r="O607" s="14"/>
      <c r="P607" s="12"/>
      <c r="Q607" s="15"/>
      <c r="R607" s="15"/>
      <c r="S607" s="21"/>
      <c r="T607" s="12"/>
      <c r="U607" s="12"/>
      <c r="V607" s="22"/>
      <c r="W607" s="22" t="str">
        <f t="array" ref="W607">IF(A607="","",IFERROR(INDEX(PARAMETROS!$J$2:$J700,MATCH(H607,PARAMETROS!$E$2:$E700,0)),""))</f>
        <v/>
      </c>
      <c r="X607" s="23" t="str">
        <f t="shared" si="2"/>
        <v/>
      </c>
    </row>
    <row r="608" spans="1:24">
      <c r="A608" s="12"/>
      <c r="B608" s="12"/>
      <c r="C608" s="12"/>
      <c r="D608" s="12"/>
      <c r="E608" s="12"/>
      <c r="F608" s="12"/>
      <c r="G608" s="12"/>
      <c r="H608" s="12"/>
      <c r="I608" s="12"/>
      <c r="J608" s="14"/>
      <c r="K608" s="12"/>
      <c r="L608" s="14"/>
      <c r="M608" s="12"/>
      <c r="N608" s="12"/>
      <c r="O608" s="14"/>
      <c r="P608" s="12"/>
      <c r="Q608" s="15"/>
      <c r="R608" s="15"/>
      <c r="S608" s="21"/>
      <c r="T608" s="12"/>
      <c r="U608" s="12"/>
      <c r="V608" s="22"/>
      <c r="W608" s="22" t="str">
        <f t="array" ref="W608">IF(A608="","",IFERROR(INDEX(PARAMETROS!$J$2:$J700,MATCH(H608,PARAMETROS!$E$2:$E700,0)),""))</f>
        <v/>
      </c>
      <c r="X608" s="23" t="str">
        <f t="shared" si="2"/>
        <v/>
      </c>
    </row>
    <row r="609" spans="1:24">
      <c r="A609" s="12"/>
      <c r="B609" s="12"/>
      <c r="C609" s="12"/>
      <c r="D609" s="12"/>
      <c r="E609" s="12"/>
      <c r="F609" s="12"/>
      <c r="G609" s="12"/>
      <c r="H609" s="12"/>
      <c r="I609" s="12"/>
      <c r="J609" s="14"/>
      <c r="K609" s="12"/>
      <c r="L609" s="14"/>
      <c r="M609" s="12"/>
      <c r="N609" s="12"/>
      <c r="O609" s="14"/>
      <c r="P609" s="12"/>
      <c r="Q609" s="15"/>
      <c r="R609" s="15"/>
      <c r="S609" s="21"/>
      <c r="T609" s="12"/>
      <c r="U609" s="12"/>
      <c r="V609" s="22"/>
      <c r="W609" s="22" t="str">
        <f t="array" ref="W609">IF(A609="","",IFERROR(INDEX(PARAMETROS!$J$2:$J700,MATCH(H609,PARAMETROS!$E$2:$E700,0)),""))</f>
        <v/>
      </c>
      <c r="X609" s="23" t="str">
        <f t="shared" si="2"/>
        <v/>
      </c>
    </row>
    <row r="610" spans="1:24">
      <c r="A610" s="12"/>
      <c r="B610" s="12"/>
      <c r="C610" s="12"/>
      <c r="D610" s="12"/>
      <c r="E610" s="12"/>
      <c r="F610" s="12"/>
      <c r="G610" s="12"/>
      <c r="H610" s="12"/>
      <c r="I610" s="12"/>
      <c r="J610" s="14"/>
      <c r="K610" s="12"/>
      <c r="L610" s="14"/>
      <c r="M610" s="12"/>
      <c r="N610" s="12"/>
      <c r="O610" s="14"/>
      <c r="P610" s="12"/>
      <c r="Q610" s="15"/>
      <c r="R610" s="15"/>
      <c r="S610" s="21"/>
      <c r="T610" s="12"/>
      <c r="U610" s="12"/>
      <c r="V610" s="22"/>
      <c r="W610" s="22" t="str">
        <f t="array" ref="W610">IF(A610="","",IFERROR(INDEX(PARAMETROS!$J$2:$J700,MATCH(H610,PARAMETROS!$E$2:$E700,0)),""))</f>
        <v/>
      </c>
      <c r="X610" s="23" t="str">
        <f t="shared" si="2"/>
        <v/>
      </c>
    </row>
    <row r="611" spans="1:24">
      <c r="A611" s="12"/>
      <c r="B611" s="12"/>
      <c r="C611" s="12"/>
      <c r="D611" s="12"/>
      <c r="E611" s="12"/>
      <c r="F611" s="12"/>
      <c r="G611" s="12"/>
      <c r="H611" s="12"/>
      <c r="I611" s="12"/>
      <c r="J611" s="14"/>
      <c r="K611" s="12"/>
      <c r="L611" s="14"/>
      <c r="M611" s="12"/>
      <c r="N611" s="12"/>
      <c r="O611" s="14"/>
      <c r="P611" s="12"/>
      <c r="Q611" s="15"/>
      <c r="R611" s="15"/>
      <c r="S611" s="21"/>
      <c r="T611" s="12"/>
      <c r="U611" s="12"/>
      <c r="V611" s="22"/>
      <c r="W611" s="22" t="str">
        <f t="array" ref="W611">IF(A611="","",IFERROR(INDEX(PARAMETROS!$J$2:$J700,MATCH(H611,PARAMETROS!$E$2:$E700,0)),""))</f>
        <v/>
      </c>
      <c r="X611" s="23" t="str">
        <f t="shared" si="2"/>
        <v/>
      </c>
    </row>
    <row r="612" spans="1:24">
      <c r="A612" s="12"/>
      <c r="B612" s="12"/>
      <c r="C612" s="12"/>
      <c r="D612" s="12"/>
      <c r="E612" s="12"/>
      <c r="F612" s="12"/>
      <c r="G612" s="12"/>
      <c r="H612" s="12"/>
      <c r="I612" s="12"/>
      <c r="J612" s="14"/>
      <c r="K612" s="12"/>
      <c r="L612" s="14"/>
      <c r="M612" s="12"/>
      <c r="N612" s="12"/>
      <c r="O612" s="14"/>
      <c r="P612" s="12"/>
      <c r="Q612" s="15"/>
      <c r="R612" s="15"/>
      <c r="S612" s="21"/>
      <c r="T612" s="12"/>
      <c r="U612" s="12"/>
      <c r="V612" s="22"/>
      <c r="W612" s="22" t="str">
        <f t="array" ref="W612">IF(A612="","",IFERROR(INDEX(PARAMETROS!$J$2:$J700,MATCH(H612,PARAMETROS!$E$2:$E700,0)),""))</f>
        <v/>
      </c>
      <c r="X612" s="23" t="str">
        <f t="shared" si="2"/>
        <v/>
      </c>
    </row>
    <row r="613" spans="1:24">
      <c r="A613" s="12"/>
      <c r="B613" s="12"/>
      <c r="C613" s="12"/>
      <c r="D613" s="12"/>
      <c r="E613" s="12"/>
      <c r="F613" s="12"/>
      <c r="G613" s="12"/>
      <c r="H613" s="12"/>
      <c r="I613" s="12"/>
      <c r="J613" s="14"/>
      <c r="K613" s="12"/>
      <c r="L613" s="14"/>
      <c r="M613" s="12"/>
      <c r="N613" s="12"/>
      <c r="O613" s="14"/>
      <c r="P613" s="12"/>
      <c r="Q613" s="15"/>
      <c r="R613" s="15"/>
      <c r="S613" s="21"/>
      <c r="T613" s="12"/>
      <c r="U613" s="12"/>
      <c r="V613" s="22"/>
      <c r="W613" s="22" t="str">
        <f t="array" ref="W613">IF(A613="","",IFERROR(INDEX(PARAMETROS!$J$2:$J700,MATCH(H613,PARAMETROS!$E$2:$E700,0)),""))</f>
        <v/>
      </c>
      <c r="X613" s="23" t="str">
        <f t="shared" si="2"/>
        <v/>
      </c>
    </row>
    <row r="614" spans="1:24">
      <c r="A614" s="12"/>
      <c r="B614" s="12"/>
      <c r="C614" s="12"/>
      <c r="D614" s="12"/>
      <c r="E614" s="12"/>
      <c r="F614" s="12"/>
      <c r="G614" s="12"/>
      <c r="H614" s="12"/>
      <c r="I614" s="12"/>
      <c r="J614" s="14"/>
      <c r="K614" s="12"/>
      <c r="L614" s="14"/>
      <c r="M614" s="12"/>
      <c r="N614" s="12"/>
      <c r="O614" s="14"/>
      <c r="P614" s="12"/>
      <c r="Q614" s="15"/>
      <c r="R614" s="15"/>
      <c r="S614" s="21"/>
      <c r="T614" s="12"/>
      <c r="U614" s="12"/>
      <c r="V614" s="22"/>
      <c r="W614" s="22" t="str">
        <f t="array" ref="W614">IF(A614="","",IFERROR(INDEX(PARAMETROS!$J$2:$J700,MATCH(H614,PARAMETROS!$E$2:$E700,0)),""))</f>
        <v/>
      </c>
      <c r="X614" s="23" t="str">
        <f t="shared" si="2"/>
        <v/>
      </c>
    </row>
    <row r="615" spans="1:24">
      <c r="A615" s="12"/>
      <c r="B615" s="12"/>
      <c r="C615" s="12"/>
      <c r="D615" s="12"/>
      <c r="E615" s="12"/>
      <c r="F615" s="12"/>
      <c r="G615" s="12"/>
      <c r="H615" s="12"/>
      <c r="I615" s="12"/>
      <c r="J615" s="14"/>
      <c r="K615" s="12"/>
      <c r="L615" s="14"/>
      <c r="M615" s="12"/>
      <c r="N615" s="12"/>
      <c r="O615" s="14"/>
      <c r="P615" s="12"/>
      <c r="Q615" s="15"/>
      <c r="R615" s="15"/>
      <c r="S615" s="21"/>
      <c r="T615" s="12"/>
      <c r="U615" s="12"/>
      <c r="V615" s="22"/>
      <c r="W615" s="22" t="str">
        <f t="array" ref="W615">IF(A615="","",IFERROR(INDEX(PARAMETROS!$J$2:$J700,MATCH(H615,PARAMETROS!$E$2:$E700,0)),""))</f>
        <v/>
      </c>
      <c r="X615" s="23" t="str">
        <f t="shared" si="2"/>
        <v/>
      </c>
    </row>
    <row r="616" spans="1:24">
      <c r="A616" s="12"/>
      <c r="B616" s="12"/>
      <c r="C616" s="12"/>
      <c r="D616" s="12"/>
      <c r="E616" s="12"/>
      <c r="F616" s="12"/>
      <c r="G616" s="12"/>
      <c r="H616" s="12"/>
      <c r="I616" s="12"/>
      <c r="J616" s="14"/>
      <c r="K616" s="12"/>
      <c r="L616" s="14"/>
      <c r="M616" s="12"/>
      <c r="N616" s="12"/>
      <c r="O616" s="14"/>
      <c r="P616" s="12"/>
      <c r="Q616" s="15"/>
      <c r="R616" s="15"/>
      <c r="S616" s="21"/>
      <c r="T616" s="12"/>
      <c r="U616" s="12"/>
      <c r="V616" s="22"/>
      <c r="W616" s="22" t="str">
        <f t="array" ref="W616">IF(A616="","",IFERROR(INDEX(PARAMETROS!$J$2:$J700,MATCH(H616,PARAMETROS!$E$2:$E700,0)),""))</f>
        <v/>
      </c>
      <c r="X616" s="23" t="str">
        <f t="shared" si="2"/>
        <v/>
      </c>
    </row>
    <row r="617" spans="1:24">
      <c r="A617" s="12"/>
      <c r="B617" s="12"/>
      <c r="C617" s="12"/>
      <c r="D617" s="12"/>
      <c r="E617" s="12"/>
      <c r="F617" s="12"/>
      <c r="G617" s="12"/>
      <c r="H617" s="12"/>
      <c r="I617" s="12"/>
      <c r="J617" s="14"/>
      <c r="K617" s="12"/>
      <c r="L617" s="14"/>
      <c r="M617" s="12"/>
      <c r="N617" s="12"/>
      <c r="O617" s="14"/>
      <c r="P617" s="12"/>
      <c r="Q617" s="15"/>
      <c r="R617" s="15"/>
      <c r="S617" s="21"/>
      <c r="T617" s="12"/>
      <c r="U617" s="12"/>
      <c r="V617" s="22"/>
      <c r="W617" s="22" t="str">
        <f t="array" ref="W617">IF(A617="","",IFERROR(INDEX(PARAMETROS!$J$2:$J700,MATCH(H617,PARAMETROS!$E$2:$E700,0)),""))</f>
        <v/>
      </c>
      <c r="X617" s="23" t="str">
        <f t="shared" si="2"/>
        <v/>
      </c>
    </row>
    <row r="618" spans="1:24">
      <c r="A618" s="12"/>
      <c r="B618" s="12"/>
      <c r="C618" s="12"/>
      <c r="D618" s="12"/>
      <c r="E618" s="12"/>
      <c r="F618" s="12"/>
      <c r="G618" s="12"/>
      <c r="H618" s="12"/>
      <c r="I618" s="12"/>
      <c r="J618" s="14"/>
      <c r="K618" s="12"/>
      <c r="L618" s="14"/>
      <c r="M618" s="12"/>
      <c r="N618" s="12"/>
      <c r="O618" s="14"/>
      <c r="P618" s="12"/>
      <c r="Q618" s="15"/>
      <c r="R618" s="15"/>
      <c r="S618" s="21"/>
      <c r="T618" s="12"/>
      <c r="U618" s="12"/>
      <c r="V618" s="22"/>
      <c r="W618" s="22" t="str">
        <f t="array" ref="W618">IF(A618="","",IFERROR(INDEX(PARAMETROS!$J$2:$J700,MATCH(H618,PARAMETROS!$E$2:$E700,0)),""))</f>
        <v/>
      </c>
      <c r="X618" s="23" t="str">
        <f t="shared" si="2"/>
        <v/>
      </c>
    </row>
    <row r="619" spans="1:24">
      <c r="A619" s="12"/>
      <c r="B619" s="12"/>
      <c r="C619" s="12"/>
      <c r="D619" s="12"/>
      <c r="E619" s="12"/>
      <c r="F619" s="12"/>
      <c r="G619" s="12"/>
      <c r="H619" s="12"/>
      <c r="I619" s="12"/>
      <c r="J619" s="14"/>
      <c r="K619" s="12"/>
      <c r="L619" s="14"/>
      <c r="M619" s="12"/>
      <c r="N619" s="12"/>
      <c r="O619" s="14"/>
      <c r="P619" s="12"/>
      <c r="Q619" s="15"/>
      <c r="R619" s="15"/>
      <c r="S619" s="21"/>
      <c r="T619" s="12"/>
      <c r="U619" s="12"/>
      <c r="V619" s="22"/>
      <c r="W619" s="22" t="str">
        <f t="array" ref="W619">IF(A619="","",IFERROR(INDEX(PARAMETROS!$J$2:$J700,MATCH(H619,PARAMETROS!$E$2:$E700,0)),""))</f>
        <v/>
      </c>
      <c r="X619" s="23" t="str">
        <f t="shared" si="2"/>
        <v/>
      </c>
    </row>
    <row r="620" spans="1:24">
      <c r="A620" s="12"/>
      <c r="B620" s="12"/>
      <c r="C620" s="12"/>
      <c r="D620" s="12"/>
      <c r="E620" s="12"/>
      <c r="F620" s="12"/>
      <c r="G620" s="12"/>
      <c r="H620" s="12"/>
      <c r="I620" s="12"/>
      <c r="J620" s="14"/>
      <c r="K620" s="12"/>
      <c r="L620" s="14"/>
      <c r="M620" s="12"/>
      <c r="N620" s="12"/>
      <c r="O620" s="14"/>
      <c r="P620" s="12"/>
      <c r="Q620" s="15"/>
      <c r="R620" s="15"/>
      <c r="S620" s="21"/>
      <c r="T620" s="12"/>
      <c r="U620" s="12"/>
      <c r="V620" s="22"/>
      <c r="W620" s="22" t="str">
        <f t="array" ref="W620">IF(A620="","",IFERROR(INDEX(PARAMETROS!$J$2:$J700,MATCH(H620,PARAMETROS!$E$2:$E700,0)),""))</f>
        <v/>
      </c>
      <c r="X620" s="23" t="str">
        <f t="shared" si="2"/>
        <v/>
      </c>
    </row>
    <row r="621" spans="1:24">
      <c r="A621" s="12"/>
      <c r="B621" s="12"/>
      <c r="C621" s="12"/>
      <c r="D621" s="12"/>
      <c r="E621" s="12"/>
      <c r="F621" s="12"/>
      <c r="G621" s="12"/>
      <c r="H621" s="12"/>
      <c r="I621" s="12"/>
      <c r="J621" s="14"/>
      <c r="K621" s="12"/>
      <c r="L621" s="14"/>
      <c r="M621" s="12"/>
      <c r="N621" s="12"/>
      <c r="O621" s="14"/>
      <c r="P621" s="12"/>
      <c r="Q621" s="15"/>
      <c r="R621" s="15"/>
      <c r="S621" s="21"/>
      <c r="T621" s="12"/>
      <c r="U621" s="12"/>
      <c r="V621" s="22"/>
      <c r="W621" s="22" t="str">
        <f t="array" ref="W621">IF(A621="","",IFERROR(INDEX(PARAMETROS!$J$2:$J700,MATCH(H621,PARAMETROS!$E$2:$E700,0)),""))</f>
        <v/>
      </c>
      <c r="X621" s="23" t="str">
        <f t="shared" si="2"/>
        <v/>
      </c>
    </row>
    <row r="622" spans="1:24">
      <c r="A622" s="12"/>
      <c r="B622" s="12"/>
      <c r="C622" s="12"/>
      <c r="D622" s="12"/>
      <c r="E622" s="12"/>
      <c r="F622" s="12"/>
      <c r="G622" s="12"/>
      <c r="H622" s="12"/>
      <c r="I622" s="12"/>
      <c r="J622" s="14"/>
      <c r="K622" s="12"/>
      <c r="L622" s="14"/>
      <c r="M622" s="12"/>
      <c r="N622" s="12"/>
      <c r="O622" s="14"/>
      <c r="P622" s="12"/>
      <c r="Q622" s="15"/>
      <c r="R622" s="15"/>
      <c r="S622" s="21"/>
      <c r="T622" s="12"/>
      <c r="U622" s="12"/>
      <c r="V622" s="22"/>
      <c r="W622" s="22" t="str">
        <f t="array" ref="W622">IF(A622="","",IFERROR(INDEX(PARAMETROS!$J$2:$J700,MATCH(H622,PARAMETROS!$E$2:$E700,0)),""))</f>
        <v/>
      </c>
      <c r="X622" s="23" t="str">
        <f t="shared" si="2"/>
        <v/>
      </c>
    </row>
    <row r="623" spans="1:24">
      <c r="A623" s="12"/>
      <c r="B623" s="12"/>
      <c r="C623" s="12"/>
      <c r="D623" s="12"/>
      <c r="E623" s="12"/>
      <c r="F623" s="12"/>
      <c r="G623" s="12"/>
      <c r="H623" s="12"/>
      <c r="I623" s="12"/>
      <c r="J623" s="14"/>
      <c r="K623" s="12"/>
      <c r="L623" s="14"/>
      <c r="M623" s="12"/>
      <c r="N623" s="12"/>
      <c r="O623" s="14"/>
      <c r="P623" s="12"/>
      <c r="Q623" s="15"/>
      <c r="R623" s="15"/>
      <c r="S623" s="21"/>
      <c r="T623" s="12"/>
      <c r="U623" s="12"/>
      <c r="V623" s="22"/>
      <c r="W623" s="22" t="str">
        <f t="array" ref="W623">IF(A623="","",IFERROR(INDEX(PARAMETROS!$J$2:$J700,MATCH(H623,PARAMETROS!$E$2:$E700,0)),""))</f>
        <v/>
      </c>
      <c r="X623" s="23" t="str">
        <f t="shared" si="2"/>
        <v/>
      </c>
    </row>
    <row r="624" spans="1:24">
      <c r="A624" s="12"/>
      <c r="B624" s="12"/>
      <c r="C624" s="12"/>
      <c r="D624" s="12"/>
      <c r="E624" s="12"/>
      <c r="F624" s="12"/>
      <c r="G624" s="12"/>
      <c r="H624" s="12"/>
      <c r="I624" s="12"/>
      <c r="J624" s="14"/>
      <c r="K624" s="12"/>
      <c r="L624" s="14"/>
      <c r="M624" s="12"/>
      <c r="N624" s="12"/>
      <c r="O624" s="14"/>
      <c r="P624" s="12"/>
      <c r="Q624" s="15"/>
      <c r="R624" s="15"/>
      <c r="S624" s="21"/>
      <c r="T624" s="12"/>
      <c r="U624" s="12"/>
      <c r="V624" s="22"/>
      <c r="W624" s="22" t="str">
        <f t="array" ref="W624">IF(A624="","",IFERROR(INDEX(PARAMETROS!$J$2:$J700,MATCH(H624,PARAMETROS!$E$2:$E700,0)),""))</f>
        <v/>
      </c>
      <c r="X624" s="23" t="str">
        <f t="shared" si="2"/>
        <v/>
      </c>
    </row>
    <row r="625" spans="1:24">
      <c r="A625" s="12"/>
      <c r="B625" s="12"/>
      <c r="C625" s="12"/>
      <c r="D625" s="12"/>
      <c r="E625" s="12"/>
      <c r="F625" s="12"/>
      <c r="G625" s="12"/>
      <c r="H625" s="12"/>
      <c r="I625" s="12"/>
      <c r="J625" s="14"/>
      <c r="K625" s="12"/>
      <c r="L625" s="14"/>
      <c r="M625" s="12"/>
      <c r="N625" s="12"/>
      <c r="O625" s="14"/>
      <c r="P625" s="12"/>
      <c r="Q625" s="15"/>
      <c r="R625" s="15"/>
      <c r="S625" s="21"/>
      <c r="T625" s="12"/>
      <c r="U625" s="12"/>
      <c r="V625" s="22"/>
      <c r="W625" s="22" t="str">
        <f t="array" ref="W625">IF(A625="","",IFERROR(INDEX(PARAMETROS!$J$2:$J700,MATCH(H625,PARAMETROS!$E$2:$E700,0)),""))</f>
        <v/>
      </c>
      <c r="X625" s="23" t="str">
        <f t="shared" si="2"/>
        <v/>
      </c>
    </row>
    <row r="626" spans="1:24">
      <c r="A626" s="12"/>
      <c r="B626" s="12"/>
      <c r="C626" s="12"/>
      <c r="D626" s="12"/>
      <c r="E626" s="12"/>
      <c r="F626" s="12"/>
      <c r="G626" s="12"/>
      <c r="H626" s="12"/>
      <c r="I626" s="12"/>
      <c r="J626" s="14"/>
      <c r="K626" s="12"/>
      <c r="L626" s="14"/>
      <c r="M626" s="12"/>
      <c r="N626" s="12"/>
      <c r="O626" s="14"/>
      <c r="P626" s="12"/>
      <c r="Q626" s="15"/>
      <c r="R626" s="15"/>
      <c r="S626" s="21"/>
      <c r="T626" s="12"/>
      <c r="U626" s="12"/>
      <c r="V626" s="22"/>
      <c r="W626" s="22" t="str">
        <f t="array" ref="W626">IF(A626="","",IFERROR(INDEX(PARAMETROS!$J$2:$J700,MATCH(H626,PARAMETROS!$E$2:$E700,0)),""))</f>
        <v/>
      </c>
      <c r="X626" s="23" t="str">
        <f t="shared" si="2"/>
        <v/>
      </c>
    </row>
    <row r="627" spans="1:24">
      <c r="A627" s="12"/>
      <c r="B627" s="12"/>
      <c r="C627" s="12"/>
      <c r="D627" s="12"/>
      <c r="E627" s="12"/>
      <c r="F627" s="12"/>
      <c r="G627" s="12"/>
      <c r="H627" s="12"/>
      <c r="I627" s="12"/>
      <c r="J627" s="14"/>
      <c r="K627" s="12"/>
      <c r="L627" s="14"/>
      <c r="M627" s="12"/>
      <c r="N627" s="12"/>
      <c r="O627" s="14"/>
      <c r="P627" s="12"/>
      <c r="Q627" s="15"/>
      <c r="R627" s="15"/>
      <c r="S627" s="21"/>
      <c r="T627" s="12"/>
      <c r="U627" s="12"/>
      <c r="V627" s="22"/>
      <c r="W627" s="22" t="str">
        <f t="array" ref="W627">IF(A627="","",IFERROR(INDEX(PARAMETROS!$J$2:$J700,MATCH(H627,PARAMETROS!$E$2:$E700,0)),""))</f>
        <v/>
      </c>
      <c r="X627" s="23" t="str">
        <f t="shared" si="2"/>
        <v/>
      </c>
    </row>
    <row r="628" spans="1:24">
      <c r="A628" s="12"/>
      <c r="B628" s="12"/>
      <c r="C628" s="12"/>
      <c r="D628" s="12"/>
      <c r="E628" s="12"/>
      <c r="F628" s="12"/>
      <c r="G628" s="12"/>
      <c r="H628" s="12"/>
      <c r="I628" s="12"/>
      <c r="J628" s="14"/>
      <c r="K628" s="12"/>
      <c r="L628" s="14"/>
      <c r="M628" s="12"/>
      <c r="N628" s="12"/>
      <c r="O628" s="14"/>
      <c r="P628" s="12"/>
      <c r="Q628" s="15"/>
      <c r="R628" s="15"/>
      <c r="S628" s="21"/>
      <c r="T628" s="12"/>
      <c r="U628" s="12"/>
      <c r="V628" s="22"/>
      <c r="W628" s="22" t="str">
        <f t="array" ref="W628">IF(A628="","",IFERROR(INDEX(PARAMETROS!$J$2:$J700,MATCH(H628,PARAMETROS!$E$2:$E700,0)),""))</f>
        <v/>
      </c>
      <c r="X628" s="23" t="str">
        <f t="shared" si="2"/>
        <v/>
      </c>
    </row>
    <row r="629" spans="1:24">
      <c r="A629" s="12"/>
      <c r="B629" s="12"/>
      <c r="C629" s="12"/>
      <c r="D629" s="12"/>
      <c r="E629" s="12"/>
      <c r="F629" s="12"/>
      <c r="G629" s="12"/>
      <c r="H629" s="12"/>
      <c r="I629" s="12"/>
      <c r="J629" s="14"/>
      <c r="K629" s="12"/>
      <c r="L629" s="14"/>
      <c r="M629" s="12"/>
      <c r="N629" s="12"/>
      <c r="O629" s="14"/>
      <c r="P629" s="12"/>
      <c r="Q629" s="15"/>
      <c r="R629" s="15"/>
      <c r="S629" s="21"/>
      <c r="T629" s="12"/>
      <c r="U629" s="12"/>
      <c r="V629" s="22"/>
      <c r="W629" s="22" t="str">
        <f t="array" ref="W629">IF(A629="","",IFERROR(INDEX(PARAMETROS!$J$2:$J700,MATCH(H629,PARAMETROS!$E$2:$E700,0)),""))</f>
        <v/>
      </c>
      <c r="X629" s="23" t="str">
        <f t="shared" si="2"/>
        <v/>
      </c>
    </row>
    <row r="630" spans="1:24">
      <c r="A630" s="12"/>
      <c r="B630" s="12"/>
      <c r="C630" s="12"/>
      <c r="D630" s="12"/>
      <c r="E630" s="12"/>
      <c r="F630" s="12"/>
      <c r="G630" s="12"/>
      <c r="H630" s="12"/>
      <c r="I630" s="12"/>
      <c r="J630" s="14"/>
      <c r="K630" s="12"/>
      <c r="L630" s="14"/>
      <c r="M630" s="12"/>
      <c r="N630" s="12"/>
      <c r="O630" s="14"/>
      <c r="P630" s="12"/>
      <c r="Q630" s="15"/>
      <c r="R630" s="15"/>
      <c r="S630" s="21"/>
      <c r="T630" s="12"/>
      <c r="U630" s="12"/>
      <c r="V630" s="22"/>
      <c r="W630" s="22" t="str">
        <f t="array" ref="W630">IF(A630="","",IFERROR(INDEX(PARAMETROS!$J$2:$J700,MATCH(H630,PARAMETROS!$E$2:$E700,0)),""))</f>
        <v/>
      </c>
      <c r="X630" s="23" t="str">
        <f t="shared" si="2"/>
        <v/>
      </c>
    </row>
    <row r="631" spans="1:24">
      <c r="A631" s="12"/>
      <c r="B631" s="12"/>
      <c r="C631" s="12"/>
      <c r="D631" s="12"/>
      <c r="E631" s="12"/>
      <c r="F631" s="12"/>
      <c r="G631" s="12"/>
      <c r="H631" s="12"/>
      <c r="I631" s="12"/>
      <c r="J631" s="14"/>
      <c r="K631" s="12"/>
      <c r="L631" s="14"/>
      <c r="M631" s="12"/>
      <c r="N631" s="12"/>
      <c r="O631" s="14"/>
      <c r="P631" s="12"/>
      <c r="Q631" s="15"/>
      <c r="R631" s="15"/>
      <c r="S631" s="21"/>
      <c r="T631" s="12"/>
      <c r="U631" s="12"/>
      <c r="V631" s="22"/>
      <c r="W631" s="22" t="str">
        <f t="array" ref="W631">IF(A631="","",IFERROR(INDEX(PARAMETROS!$J$2:$J700,MATCH(H631,PARAMETROS!$E$2:$E700,0)),""))</f>
        <v/>
      </c>
      <c r="X631" s="23" t="str">
        <f t="shared" si="2"/>
        <v/>
      </c>
    </row>
    <row r="632" spans="1:24">
      <c r="A632" s="12"/>
      <c r="B632" s="12"/>
      <c r="C632" s="12"/>
      <c r="D632" s="12"/>
      <c r="E632" s="12"/>
      <c r="F632" s="12"/>
      <c r="G632" s="12"/>
      <c r="H632" s="12"/>
      <c r="I632" s="12"/>
      <c r="J632" s="14"/>
      <c r="K632" s="12"/>
      <c r="L632" s="14"/>
      <c r="M632" s="12"/>
      <c r="N632" s="12"/>
      <c r="O632" s="14"/>
      <c r="P632" s="12"/>
      <c r="Q632" s="15"/>
      <c r="R632" s="15"/>
      <c r="S632" s="21"/>
      <c r="T632" s="12"/>
      <c r="U632" s="12"/>
      <c r="V632" s="22"/>
      <c r="W632" s="22" t="str">
        <f t="array" ref="W632">IF(A632="","",IFERROR(INDEX(PARAMETROS!$J$2:$J700,MATCH(H632,PARAMETROS!$E$2:$E700,0)),""))</f>
        <v/>
      </c>
      <c r="X632" s="23" t="str">
        <f t="shared" si="2"/>
        <v/>
      </c>
    </row>
    <row r="633" spans="1:24">
      <c r="A633" s="12"/>
      <c r="B633" s="12"/>
      <c r="C633" s="12"/>
      <c r="D633" s="12"/>
      <c r="E633" s="12"/>
      <c r="F633" s="12"/>
      <c r="G633" s="12"/>
      <c r="H633" s="12"/>
      <c r="I633" s="12"/>
      <c r="J633" s="14"/>
      <c r="K633" s="12"/>
      <c r="L633" s="14"/>
      <c r="M633" s="12"/>
      <c r="N633" s="12"/>
      <c r="O633" s="14"/>
      <c r="P633" s="12"/>
      <c r="Q633" s="15"/>
      <c r="R633" s="15"/>
      <c r="S633" s="21"/>
      <c r="T633" s="12"/>
      <c r="U633" s="12"/>
      <c r="V633" s="22"/>
      <c r="W633" s="22" t="str">
        <f t="array" ref="W633">IF(A633="","",IFERROR(INDEX(PARAMETROS!$J$2:$J700,MATCH(H633,PARAMETROS!$E$2:$E700,0)),""))</f>
        <v/>
      </c>
      <c r="X633" s="23" t="str">
        <f t="shared" si="2"/>
        <v/>
      </c>
    </row>
    <row r="634" spans="1:24">
      <c r="A634" s="12"/>
      <c r="B634" s="12"/>
      <c r="C634" s="12"/>
      <c r="D634" s="12"/>
      <c r="E634" s="12"/>
      <c r="F634" s="12"/>
      <c r="G634" s="12"/>
      <c r="H634" s="12"/>
      <c r="I634" s="12"/>
      <c r="J634" s="14"/>
      <c r="K634" s="12"/>
      <c r="L634" s="14"/>
      <c r="M634" s="12"/>
      <c r="N634" s="12"/>
      <c r="O634" s="14"/>
      <c r="P634" s="12"/>
      <c r="Q634" s="15"/>
      <c r="R634" s="15"/>
      <c r="S634" s="21"/>
      <c r="T634" s="12"/>
      <c r="U634" s="12"/>
      <c r="V634" s="22"/>
      <c r="W634" s="22" t="str">
        <f t="array" ref="W634">IF(A634="","",IFERROR(INDEX(PARAMETROS!$J$2:$J700,MATCH(H634,PARAMETROS!$E$2:$E700,0)),""))</f>
        <v/>
      </c>
      <c r="X634" s="23" t="str">
        <f t="shared" si="2"/>
        <v/>
      </c>
    </row>
    <row r="635" spans="1:24">
      <c r="A635" s="12"/>
      <c r="B635" s="12"/>
      <c r="C635" s="12"/>
      <c r="D635" s="12"/>
      <c r="E635" s="12"/>
      <c r="F635" s="12"/>
      <c r="G635" s="12"/>
      <c r="H635" s="12"/>
      <c r="I635" s="12"/>
      <c r="J635" s="14"/>
      <c r="K635" s="12"/>
      <c r="L635" s="14"/>
      <c r="M635" s="12"/>
      <c r="N635" s="12"/>
      <c r="O635" s="14"/>
      <c r="P635" s="12"/>
      <c r="Q635" s="15"/>
      <c r="R635" s="15"/>
      <c r="S635" s="21"/>
      <c r="T635" s="12"/>
      <c r="U635" s="12"/>
      <c r="V635" s="22"/>
      <c r="W635" s="22" t="str">
        <f t="array" ref="W635">IF(A635="","",IFERROR(INDEX(PARAMETROS!$J$2:$J700,MATCH(H635,PARAMETROS!$E$2:$E700,0)),""))</f>
        <v/>
      </c>
      <c r="X635" s="23" t="str">
        <f t="shared" si="2"/>
        <v/>
      </c>
    </row>
    <row r="636" spans="1:24">
      <c r="A636" s="12"/>
      <c r="B636" s="12"/>
      <c r="C636" s="12"/>
      <c r="D636" s="12"/>
      <c r="E636" s="12"/>
      <c r="F636" s="12"/>
      <c r="G636" s="12"/>
      <c r="H636" s="12"/>
      <c r="I636" s="12"/>
      <c r="J636" s="14"/>
      <c r="K636" s="12"/>
      <c r="L636" s="14"/>
      <c r="M636" s="12"/>
      <c r="N636" s="12"/>
      <c r="O636" s="14"/>
      <c r="P636" s="12"/>
      <c r="Q636" s="15"/>
      <c r="R636" s="15"/>
      <c r="S636" s="21"/>
      <c r="T636" s="12"/>
      <c r="U636" s="12"/>
      <c r="V636" s="22"/>
      <c r="W636" s="22" t="str">
        <f t="array" ref="W636">IF(A636="","",IFERROR(INDEX(PARAMETROS!$J$2:$J700,MATCH(H636,PARAMETROS!$E$2:$E700,0)),""))</f>
        <v/>
      </c>
      <c r="X636" s="23" t="str">
        <f t="shared" si="2"/>
        <v/>
      </c>
    </row>
    <row r="637" spans="1:24">
      <c r="A637" s="12"/>
      <c r="B637" s="12"/>
      <c r="C637" s="12"/>
      <c r="D637" s="12"/>
      <c r="E637" s="12"/>
      <c r="F637" s="12"/>
      <c r="G637" s="12"/>
      <c r="H637" s="12"/>
      <c r="I637" s="12"/>
      <c r="J637" s="14"/>
      <c r="K637" s="12"/>
      <c r="L637" s="14"/>
      <c r="M637" s="12"/>
      <c r="N637" s="12"/>
      <c r="O637" s="14"/>
      <c r="P637" s="12"/>
      <c r="Q637" s="15"/>
      <c r="R637" s="15"/>
      <c r="S637" s="21"/>
      <c r="T637" s="12"/>
      <c r="U637" s="12"/>
      <c r="V637" s="22"/>
      <c r="W637" s="22" t="str">
        <f t="array" ref="W637">IF(A637="","",IFERROR(INDEX(PARAMETROS!$J$2:$J700,MATCH(H637,PARAMETROS!$E$2:$E700,0)),""))</f>
        <v/>
      </c>
      <c r="X637" s="23" t="str">
        <f t="shared" si="2"/>
        <v/>
      </c>
    </row>
    <row r="638" spans="1:24">
      <c r="A638" s="12"/>
      <c r="B638" s="12"/>
      <c r="C638" s="12"/>
      <c r="D638" s="12"/>
      <c r="E638" s="12"/>
      <c r="F638" s="12"/>
      <c r="G638" s="12"/>
      <c r="H638" s="12"/>
      <c r="I638" s="12"/>
      <c r="J638" s="14"/>
      <c r="K638" s="12"/>
      <c r="L638" s="14"/>
      <c r="M638" s="12"/>
      <c r="N638" s="12"/>
      <c r="O638" s="14"/>
      <c r="P638" s="12"/>
      <c r="Q638" s="15"/>
      <c r="R638" s="15"/>
      <c r="S638" s="21"/>
      <c r="T638" s="12"/>
      <c r="U638" s="12"/>
      <c r="V638" s="22"/>
      <c r="W638" s="22" t="str">
        <f t="array" ref="W638">IF(A638="","",IFERROR(INDEX(PARAMETROS!$J$2:$J700,MATCH(H638,PARAMETROS!$E$2:$E700,0)),""))</f>
        <v/>
      </c>
      <c r="X638" s="23" t="str">
        <f t="shared" si="2"/>
        <v/>
      </c>
    </row>
    <row r="639" spans="1:24">
      <c r="A639" s="12"/>
      <c r="B639" s="12"/>
      <c r="C639" s="12"/>
      <c r="D639" s="12"/>
      <c r="E639" s="12"/>
      <c r="F639" s="12"/>
      <c r="G639" s="12"/>
      <c r="H639" s="12"/>
      <c r="I639" s="12"/>
      <c r="J639" s="14"/>
      <c r="K639" s="12"/>
      <c r="L639" s="14"/>
      <c r="M639" s="12"/>
      <c r="N639" s="12"/>
      <c r="O639" s="14"/>
      <c r="P639" s="12"/>
      <c r="Q639" s="15"/>
      <c r="R639" s="15"/>
      <c r="S639" s="21"/>
      <c r="T639" s="12"/>
      <c r="U639" s="12"/>
      <c r="V639" s="22"/>
      <c r="W639" s="22" t="str">
        <f t="array" ref="W639">IF(A639="","",IFERROR(INDEX(PARAMETROS!$J$2:$J700,MATCH(H639,PARAMETROS!$E$2:$E700,0)),""))</f>
        <v/>
      </c>
      <c r="X639" s="23" t="str">
        <f t="shared" si="2"/>
        <v/>
      </c>
    </row>
    <row r="640" spans="1:24">
      <c r="A640" s="12"/>
      <c r="B640" s="12"/>
      <c r="C640" s="12"/>
      <c r="D640" s="12"/>
      <c r="E640" s="12"/>
      <c r="F640" s="12"/>
      <c r="G640" s="12"/>
      <c r="H640" s="12"/>
      <c r="I640" s="12"/>
      <c r="J640" s="14"/>
      <c r="K640" s="12"/>
      <c r="L640" s="14"/>
      <c r="M640" s="12"/>
      <c r="N640" s="12"/>
      <c r="O640" s="14"/>
      <c r="P640" s="12"/>
      <c r="Q640" s="15"/>
      <c r="R640" s="15"/>
      <c r="S640" s="21"/>
      <c r="T640" s="12"/>
      <c r="U640" s="12"/>
      <c r="V640" s="22"/>
      <c r="W640" s="22" t="str">
        <f t="array" ref="W640">IF(A640="","",IFERROR(INDEX(PARAMETROS!$J$2:$J700,MATCH(H640,PARAMETROS!$E$2:$E700,0)),""))</f>
        <v/>
      </c>
      <c r="X640" s="23" t="str">
        <f t="shared" si="2"/>
        <v/>
      </c>
    </row>
    <row r="641" spans="1:24">
      <c r="A641" s="12"/>
      <c r="B641" s="12"/>
      <c r="C641" s="12"/>
      <c r="D641" s="12"/>
      <c r="E641" s="12"/>
      <c r="F641" s="12"/>
      <c r="G641" s="12"/>
      <c r="H641" s="12"/>
      <c r="I641" s="12"/>
      <c r="J641" s="14"/>
      <c r="K641" s="12"/>
      <c r="L641" s="14"/>
      <c r="M641" s="12"/>
      <c r="N641" s="12"/>
      <c r="O641" s="14"/>
      <c r="P641" s="12"/>
      <c r="Q641" s="15"/>
      <c r="R641" s="15"/>
      <c r="S641" s="21"/>
      <c r="T641" s="12"/>
      <c r="U641" s="12"/>
      <c r="V641" s="22"/>
      <c r="W641" s="22" t="str">
        <f t="array" ref="W641">IF(A641="","",IFERROR(INDEX(PARAMETROS!$J$2:$J700,MATCH(H641,PARAMETROS!$E$2:$E700,0)),""))</f>
        <v/>
      </c>
      <c r="X641" s="23" t="str">
        <f t="shared" si="2"/>
        <v/>
      </c>
    </row>
    <row r="642" spans="1:24">
      <c r="A642" s="12"/>
      <c r="B642" s="12"/>
      <c r="C642" s="12"/>
      <c r="D642" s="12"/>
      <c r="E642" s="12"/>
      <c r="F642" s="12"/>
      <c r="G642" s="12"/>
      <c r="H642" s="12"/>
      <c r="I642" s="12"/>
      <c r="J642" s="14"/>
      <c r="K642" s="12"/>
      <c r="L642" s="14"/>
      <c r="M642" s="12"/>
      <c r="N642" s="12"/>
      <c r="O642" s="14"/>
      <c r="P642" s="12"/>
      <c r="Q642" s="15"/>
      <c r="R642" s="15"/>
      <c r="S642" s="21"/>
      <c r="T642" s="12"/>
      <c r="U642" s="12"/>
      <c r="V642" s="22"/>
      <c r="W642" s="22" t="str">
        <f t="array" ref="W642">IF(A642="","",IFERROR(INDEX(PARAMETROS!$J$2:$J700,MATCH(H642,PARAMETROS!$E$2:$E700,0)),""))</f>
        <v/>
      </c>
      <c r="X642" s="23" t="str">
        <f t="shared" si="2"/>
        <v/>
      </c>
    </row>
    <row r="643" spans="1:24">
      <c r="A643" s="12"/>
      <c r="B643" s="12"/>
      <c r="C643" s="12"/>
      <c r="D643" s="12"/>
      <c r="E643" s="12"/>
      <c r="F643" s="12"/>
      <c r="G643" s="12"/>
      <c r="H643" s="12"/>
      <c r="I643" s="12"/>
      <c r="J643" s="14"/>
      <c r="K643" s="12"/>
      <c r="L643" s="14"/>
      <c r="M643" s="12"/>
      <c r="N643" s="12"/>
      <c r="O643" s="14"/>
      <c r="P643" s="12"/>
      <c r="Q643" s="15"/>
      <c r="R643" s="15"/>
      <c r="S643" s="21"/>
      <c r="T643" s="12"/>
      <c r="U643" s="12"/>
      <c r="V643" s="22"/>
      <c r="W643" s="22" t="str">
        <f t="array" ref="W643">IF(A643="","",IFERROR(INDEX(PARAMETROS!$J$2:$J700,MATCH(H643,PARAMETROS!$E$2:$E700,0)),""))</f>
        <v/>
      </c>
      <c r="X643" s="23" t="str">
        <f t="shared" si="2"/>
        <v/>
      </c>
    </row>
    <row r="644" spans="1:24">
      <c r="A644" s="12"/>
      <c r="B644" s="12"/>
      <c r="C644" s="12"/>
      <c r="D644" s="12"/>
      <c r="E644" s="12"/>
      <c r="F644" s="12"/>
      <c r="G644" s="12"/>
      <c r="H644" s="12"/>
      <c r="I644" s="12"/>
      <c r="J644" s="14"/>
      <c r="K644" s="12"/>
      <c r="L644" s="14"/>
      <c r="M644" s="12"/>
      <c r="N644" s="12"/>
      <c r="O644" s="14"/>
      <c r="P644" s="12"/>
      <c r="Q644" s="15"/>
      <c r="R644" s="15"/>
      <c r="S644" s="21"/>
      <c r="T644" s="12"/>
      <c r="U644" s="12"/>
      <c r="V644" s="22"/>
      <c r="W644" s="22" t="str">
        <f t="array" ref="W644">IF(A644="","",IFERROR(INDEX(PARAMETROS!$J$2:$J700,MATCH(H644,PARAMETROS!$E$2:$E700,0)),""))</f>
        <v/>
      </c>
      <c r="X644" s="23" t="str">
        <f t="shared" si="2"/>
        <v/>
      </c>
    </row>
    <row r="645" spans="1:24">
      <c r="A645" s="12"/>
      <c r="B645" s="12"/>
      <c r="C645" s="12"/>
      <c r="D645" s="12"/>
      <c r="E645" s="12"/>
      <c r="F645" s="12"/>
      <c r="G645" s="12"/>
      <c r="H645" s="12"/>
      <c r="I645" s="12"/>
      <c r="J645" s="14"/>
      <c r="K645" s="12"/>
      <c r="L645" s="14"/>
      <c r="M645" s="12"/>
      <c r="N645" s="12"/>
      <c r="O645" s="14"/>
      <c r="P645" s="12"/>
      <c r="Q645" s="15"/>
      <c r="R645" s="15"/>
      <c r="S645" s="21"/>
      <c r="T645" s="12"/>
      <c r="U645" s="12"/>
      <c r="V645" s="22"/>
      <c r="W645" s="22" t="str">
        <f t="array" ref="W645">IF(A645="","",IFERROR(INDEX(PARAMETROS!$J$2:$J700,MATCH(H645,PARAMETROS!$E$2:$E700,0)),""))</f>
        <v/>
      </c>
      <c r="X645" s="23" t="str">
        <f t="shared" si="2"/>
        <v/>
      </c>
    </row>
    <row r="646" spans="1:24">
      <c r="A646" s="12"/>
      <c r="B646" s="12"/>
      <c r="C646" s="12"/>
      <c r="D646" s="12"/>
      <c r="E646" s="12"/>
      <c r="F646" s="12"/>
      <c r="G646" s="12"/>
      <c r="H646" s="12"/>
      <c r="I646" s="12"/>
      <c r="J646" s="14"/>
      <c r="K646" s="12"/>
      <c r="L646" s="14"/>
      <c r="M646" s="12"/>
      <c r="N646" s="12"/>
      <c r="O646" s="14"/>
      <c r="P646" s="12"/>
      <c r="Q646" s="15"/>
      <c r="R646" s="15"/>
      <c r="S646" s="21"/>
      <c r="T646" s="12"/>
      <c r="U646" s="12"/>
      <c r="V646" s="22"/>
      <c r="W646" s="22" t="str">
        <f t="array" ref="W646">IF(A646="","",IFERROR(INDEX(PARAMETROS!$J$2:$J700,MATCH(H646,PARAMETROS!$E$2:$E700,0)),""))</f>
        <v/>
      </c>
      <c r="X646" s="23" t="str">
        <f t="shared" si="2"/>
        <v/>
      </c>
    </row>
    <row r="647" spans="1:24">
      <c r="A647" s="12"/>
      <c r="B647" s="12"/>
      <c r="C647" s="12"/>
      <c r="D647" s="12"/>
      <c r="E647" s="12"/>
      <c r="F647" s="12"/>
      <c r="G647" s="12"/>
      <c r="H647" s="12"/>
      <c r="I647" s="12"/>
      <c r="J647" s="14"/>
      <c r="K647" s="12"/>
      <c r="L647" s="14"/>
      <c r="M647" s="12"/>
      <c r="N647" s="12"/>
      <c r="O647" s="14"/>
      <c r="P647" s="12"/>
      <c r="Q647" s="15"/>
      <c r="R647" s="15"/>
      <c r="S647" s="21"/>
      <c r="T647" s="12"/>
      <c r="U647" s="12"/>
      <c r="V647" s="22"/>
      <c r="W647" s="22" t="str">
        <f t="array" ref="W647">IF(A647="","",IFERROR(INDEX(PARAMETROS!$J$2:$J700,MATCH(H647,PARAMETROS!$E$2:$E700,0)),""))</f>
        <v/>
      </c>
      <c r="X647" s="23" t="str">
        <f t="shared" si="2"/>
        <v/>
      </c>
    </row>
    <row r="648" spans="1:24">
      <c r="A648" s="12"/>
      <c r="B648" s="12"/>
      <c r="C648" s="12"/>
      <c r="D648" s="12"/>
      <c r="E648" s="12"/>
      <c r="F648" s="12"/>
      <c r="G648" s="12"/>
      <c r="H648" s="12"/>
      <c r="I648" s="12"/>
      <c r="J648" s="14"/>
      <c r="K648" s="12"/>
      <c r="L648" s="14"/>
      <c r="M648" s="12"/>
      <c r="N648" s="12"/>
      <c r="O648" s="14"/>
      <c r="P648" s="12"/>
      <c r="Q648" s="15"/>
      <c r="R648" s="15"/>
      <c r="S648" s="21"/>
      <c r="T648" s="12"/>
      <c r="U648" s="12"/>
      <c r="V648" s="22"/>
      <c r="W648" s="22" t="str">
        <f t="array" ref="W648">IF(A648="","",IFERROR(INDEX(PARAMETROS!$J$2:$J700,MATCH(H648,PARAMETROS!$E$2:$E700,0)),""))</f>
        <v/>
      </c>
      <c r="X648" s="23" t="str">
        <f t="shared" si="2"/>
        <v/>
      </c>
    </row>
    <row r="649" spans="1:24">
      <c r="A649" s="12"/>
      <c r="B649" s="12"/>
      <c r="C649" s="12"/>
      <c r="D649" s="12"/>
      <c r="E649" s="12"/>
      <c r="F649" s="12"/>
      <c r="G649" s="12"/>
      <c r="H649" s="12"/>
      <c r="I649" s="12"/>
      <c r="J649" s="14"/>
      <c r="K649" s="12"/>
      <c r="L649" s="14"/>
      <c r="M649" s="12"/>
      <c r="N649" s="12"/>
      <c r="O649" s="14"/>
      <c r="P649" s="12"/>
      <c r="Q649" s="15"/>
      <c r="R649" s="15"/>
      <c r="S649" s="21"/>
      <c r="T649" s="12"/>
      <c r="U649" s="12"/>
      <c r="V649" s="22"/>
      <c r="W649" s="22" t="str">
        <f t="array" ref="W649">IF(A649="","",IFERROR(INDEX(PARAMETROS!$J$2:$J700,MATCH(H649,PARAMETROS!$E$2:$E700,0)),""))</f>
        <v/>
      </c>
      <c r="X649" s="23" t="str">
        <f t="shared" si="2"/>
        <v/>
      </c>
    </row>
    <row r="650" spans="1:24">
      <c r="A650" s="12"/>
      <c r="B650" s="12"/>
      <c r="C650" s="12"/>
      <c r="D650" s="12"/>
      <c r="E650" s="12"/>
      <c r="F650" s="12"/>
      <c r="G650" s="12"/>
      <c r="H650" s="12"/>
      <c r="I650" s="12"/>
      <c r="J650" s="14"/>
      <c r="K650" s="12"/>
      <c r="L650" s="14"/>
      <c r="M650" s="12"/>
      <c r="N650" s="12"/>
      <c r="O650" s="14"/>
      <c r="P650" s="12"/>
      <c r="Q650" s="15"/>
      <c r="R650" s="15"/>
      <c r="S650" s="21"/>
      <c r="T650" s="12"/>
      <c r="U650" s="12"/>
      <c r="V650" s="22"/>
      <c r="W650" s="22" t="str">
        <f t="array" ref="W650">IF(A650="","",IFERROR(INDEX(PARAMETROS!$J$2:$J700,MATCH(H650,PARAMETROS!$E$2:$E700,0)),""))</f>
        <v/>
      </c>
      <c r="X650" s="23" t="str">
        <f t="shared" si="2"/>
        <v/>
      </c>
    </row>
    <row r="651" spans="1:24">
      <c r="A651" s="12"/>
      <c r="B651" s="12"/>
      <c r="C651" s="12"/>
      <c r="D651" s="12"/>
      <c r="E651" s="12"/>
      <c r="F651" s="12"/>
      <c r="G651" s="12"/>
      <c r="H651" s="12"/>
      <c r="I651" s="12"/>
      <c r="J651" s="14"/>
      <c r="K651" s="12"/>
      <c r="L651" s="14"/>
      <c r="M651" s="12"/>
      <c r="N651" s="12"/>
      <c r="O651" s="14"/>
      <c r="P651" s="12"/>
      <c r="Q651" s="15"/>
      <c r="R651" s="15"/>
      <c r="S651" s="21"/>
      <c r="T651" s="12"/>
      <c r="U651" s="12"/>
      <c r="V651" s="22"/>
      <c r="W651" s="22" t="str">
        <f t="array" ref="W651">IF(A651="","",IFERROR(INDEX(PARAMETROS!$J$2:$J700,MATCH(H651,PARAMETROS!$E$2:$E700,0)),""))</f>
        <v/>
      </c>
      <c r="X651" s="23" t="str">
        <f t="shared" si="2"/>
        <v/>
      </c>
    </row>
    <row r="652" spans="1:24">
      <c r="A652" s="12"/>
      <c r="B652" s="12"/>
      <c r="C652" s="12"/>
      <c r="D652" s="12"/>
      <c r="E652" s="12"/>
      <c r="F652" s="12"/>
      <c r="G652" s="12"/>
      <c r="H652" s="12"/>
      <c r="I652" s="12"/>
      <c r="J652" s="14"/>
      <c r="K652" s="12"/>
      <c r="L652" s="14"/>
      <c r="M652" s="12"/>
      <c r="N652" s="12"/>
      <c r="O652" s="14"/>
      <c r="P652" s="12"/>
      <c r="Q652" s="15"/>
      <c r="R652" s="15"/>
      <c r="S652" s="21"/>
      <c r="T652" s="12"/>
      <c r="U652" s="12"/>
      <c r="V652" s="22"/>
      <c r="W652" s="22" t="str">
        <f t="array" ref="W652">IF(A652="","",IFERROR(INDEX(PARAMETROS!$J$2:$J700,MATCH(H652,PARAMETROS!$E$2:$E700,0)),""))</f>
        <v/>
      </c>
      <c r="X652" s="23" t="str">
        <f t="shared" si="2"/>
        <v/>
      </c>
    </row>
    <row r="653" spans="1:24">
      <c r="A653" s="12"/>
      <c r="B653" s="12"/>
      <c r="C653" s="12"/>
      <c r="D653" s="12"/>
      <c r="E653" s="12"/>
      <c r="F653" s="12"/>
      <c r="G653" s="12"/>
      <c r="H653" s="12"/>
      <c r="I653" s="12"/>
      <c r="J653" s="14"/>
      <c r="K653" s="12"/>
      <c r="L653" s="14"/>
      <c r="M653" s="12"/>
      <c r="N653" s="12"/>
      <c r="O653" s="14"/>
      <c r="P653" s="12"/>
      <c r="Q653" s="15"/>
      <c r="R653" s="15"/>
      <c r="S653" s="21"/>
      <c r="T653" s="12"/>
      <c r="U653" s="12"/>
      <c r="V653" s="22"/>
      <c r="W653" s="22" t="str">
        <f t="array" ref="W653">IF(A653="","",IFERROR(INDEX(PARAMETROS!$J$2:$J700,MATCH(H653,PARAMETROS!$E$2:$E700,0)),""))</f>
        <v/>
      </c>
      <c r="X653" s="23" t="str">
        <f t="shared" si="2"/>
        <v/>
      </c>
    </row>
    <row r="654" spans="1:24">
      <c r="A654" s="12"/>
      <c r="B654" s="12"/>
      <c r="C654" s="12"/>
      <c r="D654" s="12"/>
      <c r="E654" s="12"/>
      <c r="F654" s="12"/>
      <c r="G654" s="12"/>
      <c r="H654" s="12"/>
      <c r="I654" s="12"/>
      <c r="J654" s="14"/>
      <c r="K654" s="12"/>
      <c r="L654" s="14"/>
      <c r="M654" s="12"/>
      <c r="N654" s="12"/>
      <c r="O654" s="14"/>
      <c r="P654" s="12"/>
      <c r="Q654" s="15"/>
      <c r="R654" s="15"/>
      <c r="S654" s="21"/>
      <c r="T654" s="12"/>
      <c r="U654" s="12"/>
      <c r="V654" s="22"/>
      <c r="W654" s="22" t="str">
        <f t="array" ref="W654">IF(A654="","",IFERROR(INDEX(PARAMETROS!$J$2:$J700,MATCH(H654,PARAMETROS!$E$2:$E700,0)),""))</f>
        <v/>
      </c>
      <c r="X654" s="23" t="str">
        <f t="shared" si="2"/>
        <v/>
      </c>
    </row>
    <row r="655" spans="1:24">
      <c r="A655" s="12"/>
      <c r="B655" s="12"/>
      <c r="C655" s="12"/>
      <c r="D655" s="12"/>
      <c r="E655" s="12"/>
      <c r="F655" s="12"/>
      <c r="G655" s="12"/>
      <c r="H655" s="12"/>
      <c r="I655" s="12"/>
      <c r="J655" s="14"/>
      <c r="K655" s="12"/>
      <c r="L655" s="14"/>
      <c r="M655" s="12"/>
      <c r="N655" s="12"/>
      <c r="O655" s="14"/>
      <c r="P655" s="12"/>
      <c r="Q655" s="15"/>
      <c r="R655" s="15"/>
      <c r="S655" s="21"/>
      <c r="T655" s="12"/>
      <c r="U655" s="12"/>
      <c r="V655" s="22"/>
      <c r="W655" s="22" t="str">
        <f t="array" ref="W655">IF(A655="","",IFERROR(INDEX(PARAMETROS!$J$2:$J700,MATCH(H655,PARAMETROS!$E$2:$E700,0)),""))</f>
        <v/>
      </c>
      <c r="X655" s="23" t="str">
        <f t="shared" si="2"/>
        <v/>
      </c>
    </row>
    <row r="656" spans="1:24">
      <c r="A656" s="12"/>
      <c r="B656" s="12"/>
      <c r="C656" s="12"/>
      <c r="D656" s="12"/>
      <c r="E656" s="12"/>
      <c r="F656" s="12"/>
      <c r="G656" s="12"/>
      <c r="H656" s="12"/>
      <c r="I656" s="12"/>
      <c r="J656" s="14"/>
      <c r="K656" s="12"/>
      <c r="L656" s="14"/>
      <c r="M656" s="12"/>
      <c r="N656" s="12"/>
      <c r="O656" s="14"/>
      <c r="P656" s="12"/>
      <c r="Q656" s="15"/>
      <c r="R656" s="15"/>
      <c r="S656" s="21"/>
      <c r="T656" s="12"/>
      <c r="U656" s="12"/>
      <c r="V656" s="22"/>
      <c r="W656" s="22" t="str">
        <f t="array" ref="W656">IF(A656="","",IFERROR(INDEX(PARAMETROS!$J$2:$J700,MATCH(H656,PARAMETROS!$E$2:$E700,0)),""))</f>
        <v/>
      </c>
      <c r="X656" s="23" t="str">
        <f t="shared" si="2"/>
        <v/>
      </c>
    </row>
    <row r="657" spans="1:24">
      <c r="A657" s="12"/>
      <c r="B657" s="12"/>
      <c r="C657" s="12"/>
      <c r="D657" s="12"/>
      <c r="E657" s="12"/>
      <c r="F657" s="12"/>
      <c r="G657" s="12"/>
      <c r="H657" s="12"/>
      <c r="I657" s="12"/>
      <c r="J657" s="14"/>
      <c r="K657" s="12"/>
      <c r="L657" s="14"/>
      <c r="M657" s="12"/>
      <c r="N657" s="12"/>
      <c r="O657" s="14"/>
      <c r="P657" s="12"/>
      <c r="Q657" s="15"/>
      <c r="R657" s="15"/>
      <c r="S657" s="21"/>
      <c r="T657" s="12"/>
      <c r="U657" s="12"/>
      <c r="V657" s="22"/>
      <c r="W657" s="22" t="str">
        <f t="array" ref="W657">IF(A657="","",IFERROR(INDEX(PARAMETROS!$J$2:$J700,MATCH(H657,PARAMETROS!$E$2:$E700,0)),""))</f>
        <v/>
      </c>
      <c r="X657" s="23" t="str">
        <f t="shared" si="2"/>
        <v/>
      </c>
    </row>
    <row r="658" spans="1:24">
      <c r="A658" s="12"/>
      <c r="B658" s="12"/>
      <c r="C658" s="12"/>
      <c r="D658" s="12"/>
      <c r="E658" s="12"/>
      <c r="F658" s="12"/>
      <c r="G658" s="12"/>
      <c r="H658" s="12"/>
      <c r="I658" s="12"/>
      <c r="J658" s="14"/>
      <c r="K658" s="12"/>
      <c r="L658" s="14"/>
      <c r="M658" s="12"/>
      <c r="N658" s="12"/>
      <c r="O658" s="14"/>
      <c r="P658" s="12"/>
      <c r="Q658" s="15"/>
      <c r="R658" s="15"/>
      <c r="S658" s="21"/>
      <c r="T658" s="12"/>
      <c r="U658" s="12"/>
      <c r="V658" s="22"/>
      <c r="W658" s="22" t="str">
        <f t="array" ref="W658">IF(A658="","",IFERROR(INDEX(PARAMETROS!$J$2:$J700,MATCH(H658,PARAMETROS!$E$2:$E700,0)),""))</f>
        <v/>
      </c>
      <c r="X658" s="23" t="str">
        <f t="shared" si="2"/>
        <v/>
      </c>
    </row>
    <row r="659" spans="1:24">
      <c r="A659" s="12"/>
      <c r="B659" s="12"/>
      <c r="C659" s="12"/>
      <c r="D659" s="12"/>
      <c r="E659" s="12"/>
      <c r="F659" s="12"/>
      <c r="G659" s="12"/>
      <c r="H659" s="12"/>
      <c r="I659" s="12"/>
      <c r="J659" s="14"/>
      <c r="K659" s="12"/>
      <c r="L659" s="14"/>
      <c r="M659" s="12"/>
      <c r="N659" s="12"/>
      <c r="O659" s="14"/>
      <c r="P659" s="12"/>
      <c r="Q659" s="15"/>
      <c r="R659" s="15"/>
      <c r="S659" s="21"/>
      <c r="T659" s="12"/>
      <c r="U659" s="12"/>
      <c r="V659" s="22"/>
      <c r="W659" s="22" t="str">
        <f t="array" ref="W659">IF(A659="","",IFERROR(INDEX(PARAMETROS!$J$2:$J700,MATCH(H659,PARAMETROS!$E$2:$E700,0)),""))</f>
        <v/>
      </c>
      <c r="X659" s="23" t="str">
        <f t="shared" si="2"/>
        <v/>
      </c>
    </row>
    <row r="660" spans="1:24">
      <c r="A660" s="12"/>
      <c r="B660" s="12"/>
      <c r="C660" s="12"/>
      <c r="D660" s="12"/>
      <c r="E660" s="12"/>
      <c r="F660" s="12"/>
      <c r="G660" s="12"/>
      <c r="H660" s="12"/>
      <c r="I660" s="12"/>
      <c r="J660" s="14"/>
      <c r="K660" s="12"/>
      <c r="L660" s="14"/>
      <c r="M660" s="12"/>
      <c r="N660" s="12"/>
      <c r="O660" s="14"/>
      <c r="P660" s="12"/>
      <c r="Q660" s="15"/>
      <c r="R660" s="15"/>
      <c r="S660" s="21"/>
      <c r="T660" s="12"/>
      <c r="U660" s="12"/>
      <c r="V660" s="22"/>
      <c r="W660" s="22" t="str">
        <f t="array" ref="W660">IF(A660="","",IFERROR(INDEX(PARAMETROS!$J$2:$J700,MATCH(H660,PARAMETROS!$E$2:$E700,0)),""))</f>
        <v/>
      </c>
      <c r="X660" s="23" t="str">
        <f t="shared" si="2"/>
        <v/>
      </c>
    </row>
    <row r="661" spans="1:24">
      <c r="A661" s="12"/>
      <c r="B661" s="12"/>
      <c r="C661" s="12"/>
      <c r="D661" s="12"/>
      <c r="E661" s="12"/>
      <c r="F661" s="12"/>
      <c r="G661" s="12"/>
      <c r="H661" s="12"/>
      <c r="I661" s="12"/>
      <c r="J661" s="14"/>
      <c r="K661" s="12"/>
      <c r="L661" s="14"/>
      <c r="M661" s="12"/>
      <c r="N661" s="12"/>
      <c r="O661" s="14"/>
      <c r="P661" s="12"/>
      <c r="Q661" s="15"/>
      <c r="R661" s="15"/>
      <c r="S661" s="21"/>
      <c r="T661" s="12"/>
      <c r="U661" s="12"/>
      <c r="V661" s="22"/>
      <c r="W661" s="22" t="str">
        <f t="array" ref="W661">IF(A661="","",IFERROR(INDEX(PARAMETROS!$J$2:$J700,MATCH(H661,PARAMETROS!$E$2:$E700,0)),""))</f>
        <v/>
      </c>
      <c r="X661" s="23" t="str">
        <f t="shared" si="2"/>
        <v/>
      </c>
    </row>
    <row r="662" spans="1:24">
      <c r="A662" s="12"/>
      <c r="B662" s="12"/>
      <c r="C662" s="12"/>
      <c r="D662" s="12"/>
      <c r="E662" s="12"/>
      <c r="F662" s="12"/>
      <c r="G662" s="12"/>
      <c r="H662" s="12"/>
      <c r="I662" s="12"/>
      <c r="J662" s="14"/>
      <c r="K662" s="12"/>
      <c r="L662" s="14"/>
      <c r="M662" s="12"/>
      <c r="N662" s="12"/>
      <c r="O662" s="14"/>
      <c r="P662" s="12"/>
      <c r="Q662" s="15"/>
      <c r="R662" s="15"/>
      <c r="S662" s="21"/>
      <c r="T662" s="12"/>
      <c r="U662" s="12"/>
      <c r="V662" s="22"/>
      <c r="W662" s="22" t="str">
        <f t="array" ref="W662">IF(A662="","",IFERROR(INDEX(PARAMETROS!$J$2:$J700,MATCH(H662,PARAMETROS!$E$2:$E700,0)),""))</f>
        <v/>
      </c>
      <c r="X662" s="23" t="str">
        <f t="shared" si="2"/>
        <v/>
      </c>
    </row>
    <row r="663" spans="1:24">
      <c r="A663" s="12"/>
      <c r="B663" s="12"/>
      <c r="C663" s="12"/>
      <c r="D663" s="12"/>
      <c r="E663" s="12"/>
      <c r="F663" s="12"/>
      <c r="G663" s="12"/>
      <c r="H663" s="12"/>
      <c r="I663" s="12"/>
      <c r="J663" s="14"/>
      <c r="K663" s="12"/>
      <c r="L663" s="14"/>
      <c r="M663" s="12"/>
      <c r="N663" s="12"/>
      <c r="O663" s="14"/>
      <c r="P663" s="12"/>
      <c r="Q663" s="15"/>
      <c r="R663" s="15"/>
      <c r="S663" s="21"/>
      <c r="T663" s="12"/>
      <c r="U663" s="12"/>
      <c r="V663" s="22"/>
      <c r="W663" s="22" t="str">
        <f t="array" ref="W663">IF(A663="","",IFERROR(INDEX(PARAMETROS!$J$2:$J700,MATCH(H663,PARAMETROS!$E$2:$E700,0)),""))</f>
        <v/>
      </c>
      <c r="X663" s="23" t="str">
        <f t="shared" si="2"/>
        <v/>
      </c>
    </row>
    <row r="664" spans="1:24">
      <c r="A664" s="12"/>
      <c r="B664" s="12"/>
      <c r="C664" s="12"/>
      <c r="D664" s="12"/>
      <c r="E664" s="12"/>
      <c r="F664" s="12"/>
      <c r="G664" s="12"/>
      <c r="H664" s="12"/>
      <c r="I664" s="12"/>
      <c r="J664" s="14"/>
      <c r="K664" s="12"/>
      <c r="L664" s="14"/>
      <c r="M664" s="12"/>
      <c r="N664" s="12"/>
      <c r="O664" s="14"/>
      <c r="P664" s="12"/>
      <c r="Q664" s="15"/>
      <c r="R664" s="15"/>
      <c r="S664" s="21"/>
      <c r="T664" s="12"/>
      <c r="U664" s="12"/>
      <c r="V664" s="22"/>
      <c r="W664" s="22" t="str">
        <f t="array" ref="W664">IF(A664="","",IFERROR(INDEX(PARAMETROS!$J$2:$J700,MATCH(H664,PARAMETROS!$E$2:$E700,0)),""))</f>
        <v/>
      </c>
      <c r="X664" s="23" t="str">
        <f t="shared" si="2"/>
        <v/>
      </c>
    </row>
    <row r="665" spans="1:24">
      <c r="A665" s="12"/>
      <c r="B665" s="12"/>
      <c r="C665" s="12"/>
      <c r="D665" s="12"/>
      <c r="E665" s="12"/>
      <c r="F665" s="12"/>
      <c r="G665" s="12"/>
      <c r="H665" s="12"/>
      <c r="I665" s="12"/>
      <c r="J665" s="14"/>
      <c r="K665" s="12"/>
      <c r="L665" s="14"/>
      <c r="M665" s="12"/>
      <c r="N665" s="12"/>
      <c r="O665" s="14"/>
      <c r="P665" s="12"/>
      <c r="Q665" s="15"/>
      <c r="R665" s="15"/>
      <c r="S665" s="21"/>
      <c r="T665" s="12"/>
      <c r="U665" s="12"/>
      <c r="V665" s="22"/>
      <c r="W665" s="22" t="str">
        <f t="array" ref="W665">IF(A665="","",IFERROR(INDEX(PARAMETROS!$J$2:$J700,MATCH(H665,PARAMETROS!$E$2:$E700,0)),""))</f>
        <v/>
      </c>
      <c r="X665" s="23" t="str">
        <f t="shared" si="2"/>
        <v/>
      </c>
    </row>
    <row r="666" spans="1:24">
      <c r="A666" s="12"/>
      <c r="B666" s="12"/>
      <c r="C666" s="12"/>
      <c r="D666" s="12"/>
      <c r="E666" s="12"/>
      <c r="F666" s="12"/>
      <c r="G666" s="12"/>
      <c r="H666" s="12"/>
      <c r="I666" s="12"/>
      <c r="J666" s="14"/>
      <c r="K666" s="12"/>
      <c r="L666" s="14"/>
      <c r="M666" s="12"/>
      <c r="N666" s="12"/>
      <c r="O666" s="14"/>
      <c r="P666" s="12"/>
      <c r="Q666" s="15"/>
      <c r="R666" s="15"/>
      <c r="S666" s="21"/>
      <c r="T666" s="12"/>
      <c r="U666" s="12"/>
      <c r="V666" s="22"/>
      <c r="W666" s="22" t="str">
        <f t="array" ref="W666">IF(A666="","",IFERROR(INDEX(PARAMETROS!$J$2:$J700,MATCH(H666,PARAMETROS!$E$2:$E700,0)),""))</f>
        <v/>
      </c>
      <c r="X666" s="23" t="str">
        <f t="shared" si="2"/>
        <v/>
      </c>
    </row>
    <row r="667" spans="1:24">
      <c r="A667" s="12"/>
      <c r="B667" s="12"/>
      <c r="C667" s="12"/>
      <c r="D667" s="12"/>
      <c r="E667" s="12"/>
      <c r="F667" s="12"/>
      <c r="G667" s="12"/>
      <c r="H667" s="12"/>
      <c r="I667" s="12"/>
      <c r="J667" s="14"/>
      <c r="K667" s="12"/>
      <c r="L667" s="14"/>
      <c r="M667" s="12"/>
      <c r="N667" s="12"/>
      <c r="O667" s="14"/>
      <c r="P667" s="12"/>
      <c r="Q667" s="15"/>
      <c r="R667" s="15"/>
      <c r="S667" s="21"/>
      <c r="T667" s="12"/>
      <c r="U667" s="12"/>
      <c r="V667" s="22"/>
      <c r="W667" s="22" t="str">
        <f t="array" ref="W667">IF(A667="","",IFERROR(INDEX(PARAMETROS!$J$2:$J700,MATCH(H667,PARAMETROS!$E$2:$E700,0)),""))</f>
        <v/>
      </c>
      <c r="X667" s="23" t="str">
        <f t="shared" si="2"/>
        <v/>
      </c>
    </row>
    <row r="668" spans="1:24">
      <c r="A668" s="12"/>
      <c r="B668" s="12"/>
      <c r="C668" s="12"/>
      <c r="D668" s="12"/>
      <c r="E668" s="12"/>
      <c r="F668" s="12"/>
      <c r="G668" s="12"/>
      <c r="H668" s="12"/>
      <c r="I668" s="12"/>
      <c r="J668" s="14"/>
      <c r="K668" s="12"/>
      <c r="L668" s="14"/>
      <c r="M668" s="12"/>
      <c r="N668" s="12"/>
      <c r="O668" s="14"/>
      <c r="P668" s="12"/>
      <c r="Q668" s="15"/>
      <c r="R668" s="15"/>
      <c r="S668" s="21"/>
      <c r="T668" s="12"/>
      <c r="U668" s="12"/>
      <c r="V668" s="22"/>
      <c r="W668" s="22" t="str">
        <f t="array" ref="W668">IF(A668="","",IFERROR(INDEX(PARAMETROS!$J$2:$J700,MATCH(H668,PARAMETROS!$E$2:$E700,0)),""))</f>
        <v/>
      </c>
      <c r="X668" s="23" t="str">
        <f t="shared" si="2"/>
        <v/>
      </c>
    </row>
    <row r="669" spans="1:24">
      <c r="A669" s="12"/>
      <c r="B669" s="12"/>
      <c r="C669" s="12"/>
      <c r="D669" s="12"/>
      <c r="E669" s="12"/>
      <c r="F669" s="12"/>
      <c r="G669" s="12"/>
      <c r="H669" s="12"/>
      <c r="I669" s="12"/>
      <c r="J669" s="14"/>
      <c r="K669" s="12"/>
      <c r="L669" s="14"/>
      <c r="M669" s="12"/>
      <c r="N669" s="12"/>
      <c r="O669" s="14"/>
      <c r="P669" s="12"/>
      <c r="Q669" s="15"/>
      <c r="R669" s="15"/>
      <c r="S669" s="21"/>
      <c r="T669" s="12"/>
      <c r="U669" s="12"/>
      <c r="V669" s="22"/>
      <c r="W669" s="22" t="str">
        <f t="array" ref="W669">IF(A669="","",IFERROR(INDEX(PARAMETROS!$J$2:$J700,MATCH(H669,PARAMETROS!$E$2:$E700,0)),""))</f>
        <v/>
      </c>
      <c r="X669" s="23" t="str">
        <f t="shared" si="2"/>
        <v/>
      </c>
    </row>
    <row r="670" spans="1:24">
      <c r="A670" s="12"/>
      <c r="B670" s="12"/>
      <c r="C670" s="12"/>
      <c r="D670" s="12"/>
      <c r="E670" s="12"/>
      <c r="F670" s="12"/>
      <c r="G670" s="12"/>
      <c r="H670" s="12"/>
      <c r="I670" s="12"/>
      <c r="J670" s="14"/>
      <c r="K670" s="12"/>
      <c r="L670" s="14"/>
      <c r="M670" s="12"/>
      <c r="N670" s="12"/>
      <c r="O670" s="14"/>
      <c r="P670" s="12"/>
      <c r="Q670" s="15"/>
      <c r="R670" s="15"/>
      <c r="S670" s="21"/>
      <c r="T670" s="12"/>
      <c r="U670" s="12"/>
      <c r="V670" s="22"/>
      <c r="W670" s="22" t="str">
        <f t="array" ref="W670">IF(A670="","",IFERROR(INDEX(PARAMETROS!$J$2:$J700,MATCH(H670,PARAMETROS!$E$2:$E700,0)),""))</f>
        <v/>
      </c>
      <c r="X670" s="23" t="str">
        <f t="shared" si="2"/>
        <v/>
      </c>
    </row>
    <row r="671" spans="1:24">
      <c r="A671" s="12"/>
      <c r="B671" s="12"/>
      <c r="C671" s="12"/>
      <c r="D671" s="12"/>
      <c r="E671" s="12"/>
      <c r="F671" s="12"/>
      <c r="G671" s="12"/>
      <c r="H671" s="12"/>
      <c r="I671" s="12"/>
      <c r="J671" s="14"/>
      <c r="K671" s="12"/>
      <c r="L671" s="14"/>
      <c r="M671" s="12"/>
      <c r="N671" s="12"/>
      <c r="O671" s="14"/>
      <c r="P671" s="12"/>
      <c r="Q671" s="15"/>
      <c r="R671" s="15"/>
      <c r="S671" s="21"/>
      <c r="T671" s="12"/>
      <c r="U671" s="12"/>
      <c r="V671" s="22"/>
      <c r="W671" s="22" t="str">
        <f t="array" ref="W671">IF(A671="","",IFERROR(INDEX(PARAMETROS!$J$2:$J700,MATCH(H671,PARAMETROS!$E$2:$E700,0)),""))</f>
        <v/>
      </c>
      <c r="X671" s="23" t="str">
        <f t="shared" si="2"/>
        <v/>
      </c>
    </row>
    <row r="672" spans="1:24">
      <c r="A672" s="12"/>
      <c r="B672" s="12"/>
      <c r="C672" s="12"/>
      <c r="D672" s="12"/>
      <c r="E672" s="12"/>
      <c r="F672" s="12"/>
      <c r="G672" s="12"/>
      <c r="H672" s="12"/>
      <c r="I672" s="12"/>
      <c r="J672" s="14"/>
      <c r="K672" s="12"/>
      <c r="L672" s="14"/>
      <c r="M672" s="12"/>
      <c r="N672" s="12"/>
      <c r="O672" s="14"/>
      <c r="P672" s="12"/>
      <c r="Q672" s="15"/>
      <c r="R672" s="15"/>
      <c r="S672" s="21"/>
      <c r="T672" s="12"/>
      <c r="U672" s="12"/>
      <c r="V672" s="22"/>
      <c r="W672" s="22" t="str">
        <f t="array" ref="W672">IF(A672="","",IFERROR(INDEX(PARAMETROS!$J$2:$J700,MATCH(H672,PARAMETROS!$E$2:$E700,0)),""))</f>
        <v/>
      </c>
      <c r="X672" s="23" t="str">
        <f t="shared" si="2"/>
        <v/>
      </c>
    </row>
    <row r="673" spans="1:24">
      <c r="A673" s="12"/>
      <c r="B673" s="12"/>
      <c r="C673" s="12"/>
      <c r="D673" s="12"/>
      <c r="E673" s="12"/>
      <c r="F673" s="12"/>
      <c r="G673" s="12"/>
      <c r="H673" s="12"/>
      <c r="I673" s="12"/>
      <c r="J673" s="14"/>
      <c r="K673" s="12"/>
      <c r="L673" s="14"/>
      <c r="M673" s="12"/>
      <c r="N673" s="12"/>
      <c r="O673" s="14"/>
      <c r="P673" s="12"/>
      <c r="Q673" s="15"/>
      <c r="R673" s="15"/>
      <c r="S673" s="21"/>
      <c r="T673" s="12"/>
      <c r="U673" s="12"/>
      <c r="V673" s="22"/>
      <c r="W673" s="22" t="str">
        <f t="array" ref="W673">IF(A673="","",IFERROR(INDEX(PARAMETROS!$J$2:$J700,MATCH(H673,PARAMETROS!$E$2:$E700,0)),""))</f>
        <v/>
      </c>
      <c r="X673" s="23" t="str">
        <f t="shared" si="2"/>
        <v/>
      </c>
    </row>
    <row r="674" spans="1:24">
      <c r="A674" s="12"/>
      <c r="B674" s="12"/>
      <c r="C674" s="12"/>
      <c r="D674" s="12"/>
      <c r="E674" s="12"/>
      <c r="F674" s="12"/>
      <c r="G674" s="12"/>
      <c r="H674" s="12"/>
      <c r="I674" s="12"/>
      <c r="J674" s="14"/>
      <c r="K674" s="12"/>
      <c r="L674" s="14"/>
      <c r="M674" s="12"/>
      <c r="N674" s="12"/>
      <c r="O674" s="14"/>
      <c r="P674" s="12"/>
      <c r="Q674" s="15"/>
      <c r="R674" s="15"/>
      <c r="S674" s="21"/>
      <c r="T674" s="12"/>
      <c r="U674" s="12"/>
      <c r="V674" s="22"/>
      <c r="W674" s="22" t="str">
        <f t="array" ref="W674">IF(A674="","",IFERROR(INDEX(PARAMETROS!$J$2:$J700,MATCH(H674,PARAMETROS!$E$2:$E700,0)),""))</f>
        <v/>
      </c>
      <c r="X674" s="23" t="str">
        <f t="shared" si="2"/>
        <v/>
      </c>
    </row>
    <row r="675" spans="1:24">
      <c r="A675" s="12"/>
      <c r="B675" s="12"/>
      <c r="C675" s="12"/>
      <c r="D675" s="12"/>
      <c r="E675" s="12"/>
      <c r="F675" s="12"/>
      <c r="G675" s="12"/>
      <c r="H675" s="12"/>
      <c r="I675" s="12"/>
      <c r="J675" s="14"/>
      <c r="K675" s="12"/>
      <c r="L675" s="14"/>
      <c r="M675" s="12"/>
      <c r="N675" s="12"/>
      <c r="O675" s="14"/>
      <c r="P675" s="12"/>
      <c r="Q675" s="15"/>
      <c r="R675" s="15"/>
      <c r="S675" s="21"/>
      <c r="T675" s="12"/>
      <c r="U675" s="12"/>
      <c r="V675" s="22"/>
      <c r="W675" s="22" t="str">
        <f t="array" ref="W675">IF(A675="","",IFERROR(INDEX(PARAMETROS!$J$2:$J700,MATCH(H675,PARAMETROS!$E$2:$E700,0)),""))</f>
        <v/>
      </c>
      <c r="X675" s="23" t="str">
        <f t="shared" si="2"/>
        <v/>
      </c>
    </row>
    <row r="676" spans="1:24">
      <c r="A676" s="12"/>
      <c r="B676" s="12"/>
      <c r="C676" s="12"/>
      <c r="D676" s="12"/>
      <c r="E676" s="12"/>
      <c r="F676" s="12"/>
      <c r="G676" s="12"/>
      <c r="H676" s="12"/>
      <c r="I676" s="12"/>
      <c r="J676" s="14"/>
      <c r="K676" s="12"/>
      <c r="L676" s="14"/>
      <c r="M676" s="12"/>
      <c r="N676" s="12"/>
      <c r="O676" s="14"/>
      <c r="P676" s="12"/>
      <c r="Q676" s="15"/>
      <c r="R676" s="15"/>
      <c r="S676" s="21"/>
      <c r="T676" s="12"/>
      <c r="U676" s="12"/>
      <c r="V676" s="22"/>
      <c r="W676" s="22" t="str">
        <f t="array" ref="W676">IF(A676="","",IFERROR(INDEX(PARAMETROS!$J$2:$J700,MATCH(H676,PARAMETROS!$E$2:$E700,0)),""))</f>
        <v/>
      </c>
      <c r="X676" s="23" t="str">
        <f t="shared" si="2"/>
        <v/>
      </c>
    </row>
    <row r="677" spans="1:24">
      <c r="A677" s="12"/>
      <c r="B677" s="12"/>
      <c r="C677" s="12"/>
      <c r="D677" s="12"/>
      <c r="E677" s="12"/>
      <c r="F677" s="12"/>
      <c r="G677" s="12"/>
      <c r="H677" s="12"/>
      <c r="I677" s="12"/>
      <c r="J677" s="14"/>
      <c r="K677" s="12"/>
      <c r="L677" s="14"/>
      <c r="M677" s="12"/>
      <c r="N677" s="12"/>
      <c r="O677" s="14"/>
      <c r="P677" s="12"/>
      <c r="Q677" s="15"/>
      <c r="R677" s="15"/>
      <c r="S677" s="21"/>
      <c r="T677" s="12"/>
      <c r="U677" s="12"/>
      <c r="V677" s="22"/>
      <c r="W677" s="22" t="str">
        <f t="array" ref="W677">IF(A677="","",IFERROR(INDEX(PARAMETROS!$J$2:$J700,MATCH(H677,PARAMETROS!$E$2:$E700,0)),""))</f>
        <v/>
      </c>
      <c r="X677" s="23" t="str">
        <f t="shared" si="2"/>
        <v/>
      </c>
    </row>
    <row r="678" spans="1:24">
      <c r="A678" s="12"/>
      <c r="B678" s="12"/>
      <c r="C678" s="12"/>
      <c r="D678" s="12"/>
      <c r="E678" s="12"/>
      <c r="F678" s="12"/>
      <c r="G678" s="12"/>
      <c r="H678" s="12"/>
      <c r="I678" s="12"/>
      <c r="J678" s="14"/>
      <c r="K678" s="12"/>
      <c r="L678" s="14"/>
      <c r="M678" s="12"/>
      <c r="N678" s="12"/>
      <c r="O678" s="14"/>
      <c r="P678" s="12"/>
      <c r="Q678" s="15"/>
      <c r="R678" s="15"/>
      <c r="S678" s="21"/>
      <c r="T678" s="12"/>
      <c r="U678" s="12"/>
      <c r="V678" s="22"/>
      <c r="W678" s="22" t="str">
        <f t="array" ref="W678">IF(A678="","",IFERROR(INDEX(PARAMETROS!$J$2:$J700,MATCH(H678,PARAMETROS!$E$2:$E700,0)),""))</f>
        <v/>
      </c>
      <c r="X678" s="23" t="str">
        <f t="shared" si="2"/>
        <v/>
      </c>
    </row>
    <row r="679" spans="1:24">
      <c r="A679" s="12"/>
      <c r="B679" s="12"/>
      <c r="C679" s="12"/>
      <c r="D679" s="12"/>
      <c r="E679" s="12"/>
      <c r="F679" s="12"/>
      <c r="G679" s="12"/>
      <c r="H679" s="12"/>
      <c r="I679" s="12"/>
      <c r="J679" s="14"/>
      <c r="K679" s="12"/>
      <c r="L679" s="14"/>
      <c r="M679" s="12"/>
      <c r="N679" s="12"/>
      <c r="O679" s="14"/>
      <c r="P679" s="12"/>
      <c r="Q679" s="15"/>
      <c r="R679" s="15"/>
      <c r="S679" s="21"/>
      <c r="T679" s="12"/>
      <c r="U679" s="12"/>
      <c r="V679" s="22"/>
      <c r="W679" s="22" t="str">
        <f t="array" ref="W679">IF(A679="","",IFERROR(INDEX(PARAMETROS!$J$2:$J700,MATCH(H679,PARAMETROS!$E$2:$E700,0)),""))</f>
        <v/>
      </c>
      <c r="X679" s="23" t="str">
        <f t="shared" si="2"/>
        <v/>
      </c>
    </row>
    <row r="680" spans="1:24">
      <c r="A680" s="12"/>
      <c r="B680" s="12"/>
      <c r="C680" s="12"/>
      <c r="D680" s="12"/>
      <c r="E680" s="12"/>
      <c r="F680" s="12"/>
      <c r="G680" s="12"/>
      <c r="H680" s="12"/>
      <c r="I680" s="12"/>
      <c r="J680" s="14"/>
      <c r="K680" s="12"/>
      <c r="L680" s="14"/>
      <c r="M680" s="12"/>
      <c r="N680" s="12"/>
      <c r="O680" s="14"/>
      <c r="P680" s="12"/>
      <c r="Q680" s="15"/>
      <c r="R680" s="15"/>
      <c r="S680" s="21"/>
      <c r="T680" s="12"/>
      <c r="U680" s="12"/>
      <c r="V680" s="22"/>
      <c r="W680" s="22" t="str">
        <f t="array" ref="W680">IF(A680="","",IFERROR(INDEX(PARAMETROS!$J$2:$J700,MATCH(H680,PARAMETROS!$E$2:$E700,0)),""))</f>
        <v/>
      </c>
      <c r="X680" s="23" t="str">
        <f t="shared" si="2"/>
        <v/>
      </c>
    </row>
    <row r="681" spans="1:24">
      <c r="A681" s="12"/>
      <c r="B681" s="12"/>
      <c r="C681" s="12"/>
      <c r="D681" s="12"/>
      <c r="E681" s="12"/>
      <c r="F681" s="12"/>
      <c r="G681" s="12"/>
      <c r="H681" s="12"/>
      <c r="I681" s="12"/>
      <c r="J681" s="14"/>
      <c r="K681" s="12"/>
      <c r="L681" s="14"/>
      <c r="M681" s="12"/>
      <c r="N681" s="12"/>
      <c r="O681" s="14"/>
      <c r="P681" s="12"/>
      <c r="Q681" s="15"/>
      <c r="R681" s="15"/>
      <c r="S681" s="21"/>
      <c r="T681" s="12"/>
      <c r="U681" s="12"/>
      <c r="V681" s="22"/>
      <c r="W681" s="22" t="str">
        <f t="array" ref="W681">IF(A681="","",IFERROR(INDEX(PARAMETROS!$J$2:$J700,MATCH(H681,PARAMETROS!$E$2:$E700,0)),""))</f>
        <v/>
      </c>
      <c r="X681" s="23" t="str">
        <f t="shared" si="2"/>
        <v/>
      </c>
    </row>
    <row r="682" spans="1:24">
      <c r="A682" s="12"/>
      <c r="B682" s="12"/>
      <c r="C682" s="12"/>
      <c r="D682" s="12"/>
      <c r="E682" s="12"/>
      <c r="F682" s="12"/>
      <c r="G682" s="12"/>
      <c r="H682" s="12"/>
      <c r="I682" s="12"/>
      <c r="J682" s="14"/>
      <c r="K682" s="12"/>
      <c r="L682" s="14"/>
      <c r="M682" s="12"/>
      <c r="N682" s="12"/>
      <c r="O682" s="14"/>
      <c r="P682" s="12"/>
      <c r="Q682" s="15"/>
      <c r="R682" s="15"/>
      <c r="S682" s="21"/>
      <c r="T682" s="12"/>
      <c r="U682" s="12"/>
      <c r="V682" s="22"/>
      <c r="W682" s="22" t="str">
        <f t="array" ref="W682">IF(A682="","",IFERROR(INDEX(PARAMETROS!$J$2:$J700,MATCH(H682,PARAMETROS!$E$2:$E700,0)),""))</f>
        <v/>
      </c>
      <c r="X682" s="23" t="str">
        <f t="shared" si="2"/>
        <v/>
      </c>
    </row>
    <row r="683" spans="1:24">
      <c r="A683" s="12"/>
      <c r="B683" s="12"/>
      <c r="C683" s="12"/>
      <c r="D683" s="12"/>
      <c r="E683" s="12"/>
      <c r="F683" s="12"/>
      <c r="G683" s="12"/>
      <c r="H683" s="12"/>
      <c r="I683" s="12"/>
      <c r="J683" s="14"/>
      <c r="K683" s="12"/>
      <c r="L683" s="14"/>
      <c r="M683" s="12"/>
      <c r="N683" s="12"/>
      <c r="O683" s="14"/>
      <c r="P683" s="12"/>
      <c r="Q683" s="15"/>
      <c r="R683" s="15"/>
      <c r="S683" s="21"/>
      <c r="T683" s="12"/>
      <c r="U683" s="12"/>
      <c r="V683" s="22"/>
      <c r="W683" s="22" t="str">
        <f t="array" ref="W683">IF(A683="","",IFERROR(INDEX(PARAMETROS!$J$2:$J700,MATCH(H683,PARAMETROS!$E$2:$E700,0)),""))</f>
        <v/>
      </c>
      <c r="X683" s="23" t="str">
        <f t="shared" si="2"/>
        <v/>
      </c>
    </row>
    <row r="684" spans="1:24">
      <c r="A684" s="12"/>
      <c r="B684" s="12"/>
      <c r="C684" s="12"/>
      <c r="D684" s="12"/>
      <c r="E684" s="12"/>
      <c r="F684" s="12"/>
      <c r="G684" s="12"/>
      <c r="H684" s="12"/>
      <c r="I684" s="12"/>
      <c r="J684" s="14"/>
      <c r="K684" s="12"/>
      <c r="L684" s="14"/>
      <c r="M684" s="12"/>
      <c r="N684" s="12"/>
      <c r="O684" s="14"/>
      <c r="P684" s="12"/>
      <c r="Q684" s="15"/>
      <c r="R684" s="15"/>
      <c r="S684" s="21"/>
      <c r="T684" s="12"/>
      <c r="U684" s="12"/>
      <c r="V684" s="22"/>
      <c r="W684" s="22" t="str">
        <f t="array" ref="W684">IF(A684="","",IFERROR(INDEX(PARAMETROS!$J$2:$J700,MATCH(H684,PARAMETROS!$E$2:$E700,0)),""))</f>
        <v/>
      </c>
      <c r="X684" s="23" t="str">
        <f t="shared" si="2"/>
        <v/>
      </c>
    </row>
    <row r="685" spans="1:24">
      <c r="A685" s="12"/>
      <c r="B685" s="12"/>
      <c r="C685" s="12"/>
      <c r="D685" s="12"/>
      <c r="E685" s="12"/>
      <c r="F685" s="12"/>
      <c r="G685" s="12"/>
      <c r="H685" s="12"/>
      <c r="I685" s="12"/>
      <c r="J685" s="14"/>
      <c r="K685" s="12"/>
      <c r="L685" s="14"/>
      <c r="M685" s="12"/>
      <c r="N685" s="12"/>
      <c r="O685" s="14"/>
      <c r="P685" s="12"/>
      <c r="Q685" s="15"/>
      <c r="R685" s="15"/>
      <c r="S685" s="21"/>
      <c r="T685" s="12"/>
      <c r="U685" s="12"/>
      <c r="V685" s="22"/>
      <c r="W685" s="22" t="str">
        <f t="array" ref="W685">IF(A685="","",IFERROR(INDEX(PARAMETROS!$J$2:$J700,MATCH(H685,PARAMETROS!$E$2:$E700,0)),""))</f>
        <v/>
      </c>
      <c r="X685" s="23" t="str">
        <f t="shared" si="2"/>
        <v/>
      </c>
    </row>
    <row r="686" spans="1:24">
      <c r="A686" s="12"/>
      <c r="B686" s="12"/>
      <c r="C686" s="12"/>
      <c r="D686" s="12"/>
      <c r="E686" s="12"/>
      <c r="F686" s="12"/>
      <c r="G686" s="12"/>
      <c r="H686" s="12"/>
      <c r="I686" s="12"/>
      <c r="J686" s="14"/>
      <c r="K686" s="12"/>
      <c r="L686" s="14"/>
      <c r="M686" s="12"/>
      <c r="N686" s="12"/>
      <c r="O686" s="14"/>
      <c r="P686" s="12"/>
      <c r="Q686" s="15"/>
      <c r="R686" s="15"/>
      <c r="S686" s="21"/>
      <c r="T686" s="12"/>
      <c r="U686" s="12"/>
      <c r="V686" s="22"/>
      <c r="W686" s="22" t="str">
        <f t="array" ref="W686">IF(A686="","",IFERROR(INDEX(PARAMETROS!$J$2:$J700,MATCH(H686,PARAMETROS!$E$2:$E700,0)),""))</f>
        <v/>
      </c>
      <c r="X686" s="23" t="str">
        <f t="shared" si="2"/>
        <v/>
      </c>
    </row>
    <row r="687" spans="1:24">
      <c r="A687" s="12"/>
      <c r="B687" s="12"/>
      <c r="C687" s="12"/>
      <c r="D687" s="12"/>
      <c r="E687" s="12"/>
      <c r="F687" s="12"/>
      <c r="G687" s="12"/>
      <c r="H687" s="12"/>
      <c r="I687" s="12"/>
      <c r="J687" s="14"/>
      <c r="K687" s="12"/>
      <c r="L687" s="14"/>
      <c r="M687" s="12"/>
      <c r="N687" s="12"/>
      <c r="O687" s="14"/>
      <c r="P687" s="12"/>
      <c r="Q687" s="15"/>
      <c r="R687" s="15"/>
      <c r="S687" s="21"/>
      <c r="T687" s="12"/>
      <c r="U687" s="12"/>
      <c r="V687" s="22"/>
      <c r="W687" s="22" t="str">
        <f t="array" ref="W687">IF(A687="","",IFERROR(INDEX(PARAMETROS!$J$2:$J700,MATCH(H687,PARAMETROS!$E$2:$E700,0)),""))</f>
        <v/>
      </c>
      <c r="X687" s="23" t="str">
        <f t="shared" si="2"/>
        <v/>
      </c>
    </row>
    <row r="688" spans="1:24">
      <c r="A688" s="12"/>
      <c r="B688" s="12"/>
      <c r="C688" s="12"/>
      <c r="D688" s="12"/>
      <c r="E688" s="12"/>
      <c r="F688" s="12"/>
      <c r="G688" s="12"/>
      <c r="H688" s="12"/>
      <c r="I688" s="12"/>
      <c r="J688" s="14"/>
      <c r="K688" s="12"/>
      <c r="L688" s="14"/>
      <c r="M688" s="12"/>
      <c r="N688" s="12"/>
      <c r="O688" s="14"/>
      <c r="P688" s="12"/>
      <c r="Q688" s="15"/>
      <c r="R688" s="15"/>
      <c r="S688" s="21"/>
      <c r="T688" s="12"/>
      <c r="U688" s="12"/>
      <c r="V688" s="22"/>
      <c r="W688" s="22" t="str">
        <f t="array" ref="W688">IF(A688="","",IFERROR(INDEX(PARAMETROS!$J$2:$J700,MATCH(H688,PARAMETROS!$E$2:$E700,0)),""))</f>
        <v/>
      </c>
      <c r="X688" s="23" t="str">
        <f t="shared" si="2"/>
        <v/>
      </c>
    </row>
    <row r="689" spans="1:24">
      <c r="A689" s="12"/>
      <c r="B689" s="12"/>
      <c r="C689" s="12"/>
      <c r="D689" s="12"/>
      <c r="E689" s="12"/>
      <c r="F689" s="12"/>
      <c r="G689" s="12"/>
      <c r="H689" s="12"/>
      <c r="I689" s="12"/>
      <c r="J689" s="14"/>
      <c r="K689" s="12"/>
      <c r="L689" s="14"/>
      <c r="M689" s="12"/>
      <c r="N689" s="12"/>
      <c r="O689" s="14"/>
      <c r="P689" s="12"/>
      <c r="Q689" s="15"/>
      <c r="R689" s="15"/>
      <c r="S689" s="21"/>
      <c r="T689" s="12"/>
      <c r="U689" s="12"/>
      <c r="V689" s="22"/>
      <c r="W689" s="22" t="str">
        <f t="array" ref="W689">IF(A689="","",IFERROR(INDEX(PARAMETROS!$J$2:$J700,MATCH(H689,PARAMETROS!$E$2:$E700,0)),""))</f>
        <v/>
      </c>
      <c r="X689" s="23" t="str">
        <f t="shared" si="2"/>
        <v/>
      </c>
    </row>
    <row r="690" spans="1:24">
      <c r="A690" s="12"/>
      <c r="B690" s="12"/>
      <c r="C690" s="12"/>
      <c r="D690" s="12"/>
      <c r="E690" s="12"/>
      <c r="F690" s="12"/>
      <c r="G690" s="12"/>
      <c r="H690" s="12"/>
      <c r="I690" s="12"/>
      <c r="J690" s="14"/>
      <c r="K690" s="12"/>
      <c r="L690" s="14"/>
      <c r="M690" s="12"/>
      <c r="N690" s="12"/>
      <c r="O690" s="14"/>
      <c r="P690" s="12"/>
      <c r="Q690" s="15"/>
      <c r="R690" s="15"/>
      <c r="S690" s="21"/>
      <c r="T690" s="12"/>
      <c r="U690" s="12"/>
      <c r="V690" s="22"/>
      <c r="W690" s="22" t="str">
        <f t="array" ref="W690">IF(A690="","",IFERROR(INDEX(PARAMETROS!$J$2:$J700,MATCH(H690,PARAMETROS!$E$2:$E700,0)),""))</f>
        <v/>
      </c>
      <c r="X690" s="23" t="str">
        <f t="shared" si="2"/>
        <v/>
      </c>
    </row>
    <row r="691" spans="1:24">
      <c r="A691" s="12"/>
      <c r="B691" s="12"/>
      <c r="C691" s="12"/>
      <c r="D691" s="12"/>
      <c r="E691" s="12"/>
      <c r="F691" s="12"/>
      <c r="G691" s="12"/>
      <c r="H691" s="12"/>
      <c r="I691" s="12"/>
      <c r="J691" s="14"/>
      <c r="K691" s="12"/>
      <c r="L691" s="14"/>
      <c r="M691" s="12"/>
      <c r="N691" s="12"/>
      <c r="O691" s="14"/>
      <c r="P691" s="12"/>
      <c r="Q691" s="15"/>
      <c r="R691" s="15"/>
      <c r="S691" s="21"/>
      <c r="T691" s="12"/>
      <c r="U691" s="12"/>
      <c r="V691" s="22"/>
      <c r="W691" s="22" t="str">
        <f t="array" ref="W691">IF(A691="","",IFERROR(INDEX(PARAMETROS!$J$2:$J700,MATCH(H691,PARAMETROS!$E$2:$E700,0)),""))</f>
        <v/>
      </c>
      <c r="X691" s="23" t="str">
        <f t="shared" si="2"/>
        <v/>
      </c>
    </row>
    <row r="692" spans="1:24">
      <c r="A692" s="12"/>
      <c r="B692" s="12"/>
      <c r="C692" s="12"/>
      <c r="D692" s="12"/>
      <c r="E692" s="12"/>
      <c r="F692" s="12"/>
      <c r="G692" s="12"/>
      <c r="H692" s="12"/>
      <c r="I692" s="12"/>
      <c r="J692" s="14"/>
      <c r="K692" s="12"/>
      <c r="L692" s="14"/>
      <c r="M692" s="12"/>
      <c r="N692" s="12"/>
      <c r="O692" s="14"/>
      <c r="P692" s="12"/>
      <c r="Q692" s="15"/>
      <c r="R692" s="15"/>
      <c r="S692" s="21"/>
      <c r="T692" s="12"/>
      <c r="U692" s="12"/>
      <c r="V692" s="22"/>
      <c r="W692" s="22" t="str">
        <f t="array" ref="W692">IF(A692="","",IFERROR(INDEX(PARAMETROS!$J$2:$J700,MATCH(H692,PARAMETROS!$E$2:$E700,0)),""))</f>
        <v/>
      </c>
      <c r="X692" s="23" t="str">
        <f t="shared" si="2"/>
        <v/>
      </c>
    </row>
    <row r="693" spans="1:24">
      <c r="A693" s="12"/>
      <c r="B693" s="12"/>
      <c r="C693" s="12"/>
      <c r="D693" s="12"/>
      <c r="E693" s="12"/>
      <c r="F693" s="12"/>
      <c r="G693" s="12"/>
      <c r="H693" s="12"/>
      <c r="I693" s="12"/>
      <c r="J693" s="14"/>
      <c r="K693" s="12"/>
      <c r="L693" s="14"/>
      <c r="M693" s="12"/>
      <c r="N693" s="12"/>
      <c r="O693" s="14"/>
      <c r="P693" s="12"/>
      <c r="Q693" s="15"/>
      <c r="R693" s="15"/>
      <c r="S693" s="21"/>
      <c r="T693" s="12"/>
      <c r="U693" s="12"/>
      <c r="V693" s="22"/>
      <c r="W693" s="22" t="str">
        <f t="array" ref="W693">IF(A693="","",IFERROR(INDEX(PARAMETROS!$J$2:$J700,MATCH(H693,PARAMETROS!$E$2:$E700,0)),""))</f>
        <v/>
      </c>
      <c r="X693" s="23" t="str">
        <f t="shared" si="2"/>
        <v/>
      </c>
    </row>
    <row r="694" spans="1:24">
      <c r="A694" s="12"/>
      <c r="B694" s="12"/>
      <c r="C694" s="12"/>
      <c r="D694" s="12"/>
      <c r="E694" s="12"/>
      <c r="F694" s="12"/>
      <c r="G694" s="12"/>
      <c r="H694" s="12"/>
      <c r="I694" s="12"/>
      <c r="J694" s="14"/>
      <c r="K694" s="12"/>
      <c r="L694" s="14"/>
      <c r="M694" s="12"/>
      <c r="N694" s="12"/>
      <c r="O694" s="14"/>
      <c r="P694" s="12"/>
      <c r="Q694" s="15"/>
      <c r="R694" s="15"/>
      <c r="S694" s="21"/>
      <c r="T694" s="12"/>
      <c r="U694" s="12"/>
      <c r="V694" s="22"/>
      <c r="W694" s="22" t="str">
        <f t="array" ref="W694">IF(A694="","",IFERROR(INDEX(PARAMETROS!$J$2:$J700,MATCH(H694,PARAMETROS!$E$2:$E700,0)),""))</f>
        <v/>
      </c>
      <c r="X694" s="23" t="str">
        <f t="shared" si="2"/>
        <v/>
      </c>
    </row>
    <row r="695" spans="1:24">
      <c r="A695" s="12"/>
      <c r="B695" s="12"/>
      <c r="C695" s="12"/>
      <c r="D695" s="12"/>
      <c r="E695" s="12"/>
      <c r="F695" s="12"/>
      <c r="G695" s="12"/>
      <c r="H695" s="12"/>
      <c r="I695" s="12"/>
      <c r="J695" s="14"/>
      <c r="K695" s="12"/>
      <c r="L695" s="14"/>
      <c r="M695" s="12"/>
      <c r="N695" s="12"/>
      <c r="O695" s="14"/>
      <c r="P695" s="12"/>
      <c r="Q695" s="15"/>
      <c r="R695" s="15"/>
      <c r="S695" s="21"/>
      <c r="T695" s="12"/>
      <c r="U695" s="12"/>
      <c r="V695" s="22"/>
      <c r="W695" s="22" t="str">
        <f t="array" ref="W695">IF(A695="","",IFERROR(INDEX(PARAMETROS!$J$2:$J700,MATCH(H695,PARAMETROS!$E$2:$E700,0)),""))</f>
        <v/>
      </c>
      <c r="X695" s="23" t="str">
        <f t="shared" si="2"/>
        <v/>
      </c>
    </row>
    <row r="696" spans="1:24">
      <c r="A696" s="12"/>
      <c r="B696" s="12"/>
      <c r="C696" s="12"/>
      <c r="D696" s="12"/>
      <c r="E696" s="12"/>
      <c r="F696" s="12"/>
      <c r="G696" s="12"/>
      <c r="H696" s="12"/>
      <c r="I696" s="12"/>
      <c r="J696" s="14"/>
      <c r="K696" s="12"/>
      <c r="L696" s="14"/>
      <c r="M696" s="12"/>
      <c r="N696" s="12"/>
      <c r="O696" s="14"/>
      <c r="P696" s="12"/>
      <c r="Q696" s="15"/>
      <c r="R696" s="15"/>
      <c r="S696" s="21"/>
      <c r="T696" s="12"/>
      <c r="U696" s="12"/>
      <c r="V696" s="22"/>
      <c r="W696" s="22" t="str">
        <f t="array" ref="W696">IF(A696="","",IFERROR(INDEX(PARAMETROS!$J$2:$J700,MATCH(H696,PARAMETROS!$E$2:$E700,0)),""))</f>
        <v/>
      </c>
      <c r="X696" s="23" t="str">
        <f t="shared" si="2"/>
        <v/>
      </c>
    </row>
    <row r="697" spans="1:24">
      <c r="A697" s="12"/>
      <c r="B697" s="12"/>
      <c r="C697" s="12"/>
      <c r="D697" s="12"/>
      <c r="E697" s="12"/>
      <c r="F697" s="12"/>
      <c r="G697" s="12"/>
      <c r="H697" s="12"/>
      <c r="I697" s="12"/>
      <c r="J697" s="14"/>
      <c r="K697" s="12"/>
      <c r="L697" s="14"/>
      <c r="M697" s="12"/>
      <c r="N697" s="12"/>
      <c r="O697" s="14"/>
      <c r="P697" s="12"/>
      <c r="Q697" s="15"/>
      <c r="R697" s="15"/>
      <c r="S697" s="21"/>
      <c r="T697" s="12"/>
      <c r="U697" s="12"/>
      <c r="V697" s="22"/>
      <c r="W697" s="22" t="str">
        <f t="array" ref="W697">IF(A697="","",IFERROR(INDEX(PARAMETROS!$J$2:$J700,MATCH(H697,PARAMETROS!$E$2:$E700,0)),""))</f>
        <v/>
      </c>
      <c r="X697" s="23" t="str">
        <f t="shared" si="2"/>
        <v/>
      </c>
    </row>
    <row r="698" spans="1:24">
      <c r="A698" s="12"/>
      <c r="B698" s="12"/>
      <c r="C698" s="12"/>
      <c r="D698" s="12"/>
      <c r="E698" s="12"/>
      <c r="F698" s="12"/>
      <c r="G698" s="12"/>
      <c r="H698" s="12"/>
      <c r="I698" s="12"/>
      <c r="J698" s="14"/>
      <c r="K698" s="12"/>
      <c r="L698" s="14"/>
      <c r="M698" s="12"/>
      <c r="N698" s="12"/>
      <c r="O698" s="14"/>
      <c r="P698" s="12"/>
      <c r="Q698" s="15"/>
      <c r="R698" s="15"/>
      <c r="S698" s="21"/>
      <c r="T698" s="12"/>
      <c r="U698" s="12"/>
      <c r="V698" s="22"/>
      <c r="W698" s="22" t="str">
        <f t="array" ref="W698">IF(A698="","",IFERROR(INDEX(PARAMETROS!$J$2:$J700,MATCH(H698,PARAMETROS!$E$2:$E700,0)),""))</f>
        <v/>
      </c>
      <c r="X698" s="23" t="str">
        <f t="shared" si="2"/>
        <v/>
      </c>
    </row>
    <row r="699" spans="1:24">
      <c r="A699" s="12"/>
      <c r="B699" s="12"/>
      <c r="C699" s="12"/>
      <c r="D699" s="12"/>
      <c r="E699" s="12"/>
      <c r="F699" s="12"/>
      <c r="G699" s="12"/>
      <c r="H699" s="12"/>
      <c r="I699" s="12"/>
      <c r="J699" s="14"/>
      <c r="K699" s="12"/>
      <c r="L699" s="14"/>
      <c r="M699" s="12"/>
      <c r="N699" s="12"/>
      <c r="O699" s="14"/>
      <c r="P699" s="12"/>
      <c r="Q699" s="15"/>
      <c r="R699" s="15"/>
      <c r="S699" s="21"/>
      <c r="T699" s="12"/>
      <c r="U699" s="12"/>
      <c r="V699" s="22"/>
      <c r="W699" s="22" t="str">
        <f t="array" ref="W699">IF(A699="","",IFERROR(INDEX(PARAMETROS!$J$2:$J700,MATCH(H699,PARAMETROS!$E$2:$E700,0)),""))</f>
        <v/>
      </c>
      <c r="X699" s="23" t="str">
        <f t="shared" si="2"/>
        <v/>
      </c>
    </row>
    <row r="700" spans="1:24">
      <c r="A700" s="12"/>
      <c r="B700" s="12"/>
      <c r="C700" s="12"/>
      <c r="D700" s="12"/>
      <c r="E700" s="12"/>
      <c r="F700" s="12"/>
      <c r="G700" s="12"/>
      <c r="H700" s="12"/>
      <c r="I700" s="12"/>
      <c r="J700" s="14"/>
      <c r="K700" s="12"/>
      <c r="L700" s="14"/>
      <c r="M700" s="12"/>
      <c r="N700" s="12"/>
      <c r="O700" s="14"/>
      <c r="P700" s="12"/>
      <c r="Q700" s="15"/>
      <c r="R700" s="15"/>
      <c r="S700" s="21"/>
      <c r="T700" s="12"/>
      <c r="U700" s="12"/>
      <c r="V700" s="22"/>
      <c r="W700" s="22" t="str">
        <f t="array" ref="W700">IF(A700="","",IFERROR(INDEX(PARAMETROS!$J$2:$J700,MATCH(H700,PARAMETROS!$E$2:$E700,0)),""))</f>
        <v/>
      </c>
      <c r="X700" s="23" t="str">
        <f t="shared" si="2"/>
        <v/>
      </c>
    </row>
  </sheetData>
  <customSheetViews>
    <customSheetView guid="{B15EFF6A-9BEB-49B0-B8BA-DD9BF59B2FBE}" filter="1" showAutoFilter="1">
      <pageMargins left="0" right="0" top="0" bottom="0" header="0" footer="0"/>
      <autoFilter ref="A1:W700" xr:uid="{051A49EC-79A8-41D2-B707-A68CDB5C6364}"/>
    </customSheetView>
    <customSheetView guid="{181F5CB1-F6C1-4A0F-A1AC-1EAA41D45ADF}" filter="1" showAutoFilter="1">
      <pageMargins left="0" right="0" top="0" bottom="0" header="0" footer="0"/>
      <autoFilter ref="A1:W700" xr:uid="{058E3707-D29B-4CB5-B652-BF0A6B31C074}"/>
    </customSheetView>
    <customSheetView guid="{BA044186-394D-414C-8579-ECC6CC0A941A}" filter="1" showAutoFilter="1">
      <pageMargins left="0" right="0" top="0" bottom="0" header="0" footer="0"/>
      <autoFilter ref="A1:W700" xr:uid="{2FCFB4DE-501F-40C9-957C-95D61512BE14}">
        <filterColumn colId="19">
          <filters blank="1"/>
        </filterColumn>
        <filterColumn colId="22">
          <filters blank="1">
            <filter val="#VALUE!"/>
          </filters>
        </filterColumn>
      </autoFilter>
    </customSheetView>
    <customSheetView guid="{7A8B6077-8358-46C7-B6EB-0CCDA99BB991}" filter="1" showAutoFilter="1">
      <pageMargins left="0" right="0" top="0" bottom="0" header="0" footer="0"/>
      <autoFilter ref="A1:T191" xr:uid="{4F655925-BBC8-4639-AF8A-3B3D66206818}"/>
    </customSheetView>
    <customSheetView guid="{F3A071FB-3421-4AE2-82B9-ACF27FD2C4AD}" filter="1" showAutoFilter="1">
      <pageMargins left="0" right="0" top="0" bottom="0" header="0" footer="0"/>
      <autoFilter ref="A1:W700" xr:uid="{8720C417-8EEC-48D8-95BB-06F0CE092E08}">
        <filterColumn colId="19">
          <filters blank="1"/>
        </filterColumn>
      </autoFilter>
    </customSheetView>
    <customSheetView guid="{7636E361-B741-4E25-896B-A148E2CE0914}" filter="1" showAutoFilter="1">
      <pageMargins left="0" right="0" top="0" bottom="0" header="0" footer="0"/>
      <autoFilter ref="A1:X700" xr:uid="{D7A7D2EF-382B-42FC-BA0B-72C58BD114C4}">
        <filterColumn colId="18">
          <filters blank="1"/>
        </filterColumn>
      </autoFilter>
    </customSheetView>
    <customSheetView guid="{482B0927-4AB4-4934-998C-213C37FD6FF0}" filter="1" showAutoFilter="1">
      <pageMargins left="0" right="0" top="0" bottom="0" header="0" footer="0"/>
      <autoFilter ref="A1:X201" xr:uid="{5D694E01-527C-43F9-939B-37EFA1978EB3}"/>
    </customSheetView>
    <customSheetView guid="{4EA2D23C-8BCD-4797-9DAA-CA2764049125}" filter="1" showAutoFilter="1">
      <pageMargins left="0" right="0" top="0" bottom="0" header="0" footer="0"/>
      <autoFilter ref="A1:X207" xr:uid="{D0813177-D81B-4A9B-AF59-0E42F10C7636}">
        <filterColumn colId="19">
          <filters blank="1"/>
        </filterColumn>
      </autoFilter>
    </customSheetView>
  </customSheetViews>
  <dataValidations count="2">
    <dataValidation type="custom" allowBlank="1" showDropDown="1" sqref="O2:O68 O70:O167" xr:uid="{00000000-0002-0000-0200-000000000000}">
      <formula1>OR(NOT(ISERROR(DATEVALUE(O2))), AND(ISNUMBER(O2), LEFT(CELL("format", O2))="D"))</formula1>
    </dataValidation>
    <dataValidation type="custom" allowBlank="1" showDropDown="1" showErrorMessage="1" sqref="J2:J167 L2:L167" xr:uid="{00000000-0002-0000-0200-000001000000}">
      <formula1>OR(NOT(ISERROR(DATEVALUE(J2))), AND(ISNUMBER(J2), LEFT(CELL("format", J2))="D"))</formula1>
    </dataValidation>
  </dataValidations>
  <pageMargins left="0.7" right="0.7" top="0.75" bottom="0.75" header="0.3" footer="0.3"/>
  <legacyDrawing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M184"/>
  <sheetViews>
    <sheetView workbookViewId="0"/>
  </sheetViews>
  <sheetFormatPr defaultColWidth="12.5703125" defaultRowHeight="15.75" customHeight="1"/>
  <cols>
    <col min="2" max="2" width="21.28515625" customWidth="1"/>
    <col min="4" max="4" width="21.42578125" customWidth="1"/>
    <col min="6" max="6" width="14.5703125" customWidth="1"/>
  </cols>
  <sheetData>
    <row r="1" spans="1:13">
      <c r="A1" s="25" t="s">
        <v>240</v>
      </c>
    </row>
    <row r="2" spans="1:13">
      <c r="B2" s="26" t="s">
        <v>241</v>
      </c>
      <c r="C2" s="26" t="s">
        <v>242</v>
      </c>
      <c r="D2" s="26" t="s">
        <v>243</v>
      </c>
      <c r="K2" s="25">
        <v>-396</v>
      </c>
      <c r="L2" s="25">
        <v>-396</v>
      </c>
    </row>
    <row r="3" spans="1:13" ht="15.75" customHeight="1">
      <c r="A3" s="27" t="s">
        <v>244</v>
      </c>
      <c r="B3" s="28">
        <v>44701</v>
      </c>
      <c r="C3" s="29">
        <v>44749</v>
      </c>
      <c r="D3" s="30">
        <f ca="1">NETWORKDAYS.INTL(B3,C3,1,PARAMETROS!A2:A999)</f>
        <v>32</v>
      </c>
      <c r="K3" s="25">
        <v>208</v>
      </c>
      <c r="L3" s="25">
        <v>208</v>
      </c>
      <c r="M3" s="25">
        <v>208</v>
      </c>
    </row>
    <row r="4" spans="1:13" ht="15.75" customHeight="1">
      <c r="A4" s="27" t="s">
        <v>245</v>
      </c>
      <c r="B4" s="29">
        <v>44750</v>
      </c>
      <c r="C4" s="26"/>
      <c r="D4" s="30">
        <f ca="1">NETWORKDAYS.INTL(B4,TODAY(),1,PARAMETROS!A2:A999)</f>
        <v>380</v>
      </c>
      <c r="K4" s="25">
        <v>-434</v>
      </c>
      <c r="L4" s="25">
        <v>-434</v>
      </c>
    </row>
    <row r="5" spans="1:13">
      <c r="K5" s="25">
        <v>-48</v>
      </c>
      <c r="L5" s="25">
        <v>-48</v>
      </c>
    </row>
    <row r="6" spans="1:13">
      <c r="F6" s="31"/>
      <c r="G6" s="32" t="s">
        <v>246</v>
      </c>
      <c r="H6" s="32" t="s">
        <v>247</v>
      </c>
      <c r="I6" s="32" t="s">
        <v>248</v>
      </c>
      <c r="K6" s="25">
        <v>166</v>
      </c>
      <c r="L6" s="25">
        <v>166</v>
      </c>
      <c r="M6" s="25">
        <v>166</v>
      </c>
    </row>
    <row r="7" spans="1:13">
      <c r="B7" s="33">
        <f ca="1">NOW()</f>
        <v>45322.475214699072</v>
      </c>
      <c r="C7" s="34">
        <f ca="1">TODAY()</f>
        <v>45322</v>
      </c>
      <c r="F7" s="32" t="s">
        <v>249</v>
      </c>
      <c r="G7" s="31">
        <v>53</v>
      </c>
      <c r="H7" s="31">
        <v>13</v>
      </c>
      <c r="I7" s="31" t="s">
        <v>250</v>
      </c>
      <c r="K7" s="25">
        <v>127</v>
      </c>
      <c r="L7" s="25">
        <v>127</v>
      </c>
      <c r="M7" s="25">
        <v>127</v>
      </c>
    </row>
    <row r="8" spans="1:13">
      <c r="B8" s="25" t="s">
        <v>251</v>
      </c>
      <c r="C8" s="25">
        <f>HOUR("11:40:59")</f>
        <v>11</v>
      </c>
      <c r="F8" s="32" t="s">
        <v>252</v>
      </c>
      <c r="G8" s="31">
        <v>44</v>
      </c>
      <c r="H8" s="31">
        <v>9</v>
      </c>
      <c r="I8" s="31" t="s">
        <v>250</v>
      </c>
      <c r="K8" s="25">
        <v>115</v>
      </c>
      <c r="L8" s="25">
        <v>115</v>
      </c>
      <c r="M8" s="25">
        <v>115</v>
      </c>
    </row>
    <row r="9" spans="1:13">
      <c r="F9" s="32" t="s">
        <v>253</v>
      </c>
      <c r="G9" s="35">
        <v>44652</v>
      </c>
      <c r="H9" s="31" t="s">
        <v>254</v>
      </c>
      <c r="I9" s="31"/>
      <c r="K9" s="25">
        <v>42</v>
      </c>
      <c r="L9" s="25">
        <v>42</v>
      </c>
      <c r="M9" s="25">
        <v>42</v>
      </c>
    </row>
    <row r="10" spans="1:13">
      <c r="K10" s="25">
        <v>126</v>
      </c>
      <c r="L10" s="36">
        <v>-31.734000000000002</v>
      </c>
      <c r="M10" s="25">
        <v>126</v>
      </c>
    </row>
    <row r="11" spans="1:13">
      <c r="B11" s="19">
        <v>43973</v>
      </c>
      <c r="C11" s="20">
        <v>43979</v>
      </c>
      <c r="D11" s="37">
        <f ca="1">NETWORKDAYS.INTL(B11,C11,1,PARAMETROS!A85:A3083)</f>
        <v>0</v>
      </c>
      <c r="K11" s="25">
        <v>100</v>
      </c>
      <c r="L11" s="25">
        <v>100</v>
      </c>
      <c r="M11" s="25">
        <v>100</v>
      </c>
    </row>
    <row r="12" spans="1:13">
      <c r="B12" s="19">
        <v>43973</v>
      </c>
      <c r="C12" s="20">
        <v>43987</v>
      </c>
      <c r="D12" s="37">
        <f ca="1">NETWORKDAYS.INTL(B12,C12,1,PARAMETROS!A86:A3084)</f>
        <v>0</v>
      </c>
      <c r="K12" s="25">
        <v>109</v>
      </c>
      <c r="L12" s="25">
        <v>109</v>
      </c>
      <c r="M12" s="25">
        <v>109</v>
      </c>
    </row>
    <row r="13" spans="1:13">
      <c r="B13" s="19">
        <v>43980</v>
      </c>
      <c r="C13" s="20">
        <v>43987</v>
      </c>
      <c r="D13" s="37">
        <f ca="1">NETWORKDAYS.INTL(B13,C13,1,PARAMETROS!A87:A3085)</f>
        <v>0</v>
      </c>
      <c r="K13" s="25">
        <v>91</v>
      </c>
      <c r="L13" s="25">
        <v>91</v>
      </c>
      <c r="M13" s="25">
        <v>91</v>
      </c>
    </row>
    <row r="14" spans="1:13">
      <c r="K14" s="25">
        <v>20</v>
      </c>
      <c r="L14" s="25">
        <v>20</v>
      </c>
      <c r="M14" s="25">
        <v>20</v>
      </c>
    </row>
    <row r="15" spans="1:13">
      <c r="K15" s="25">
        <v>97</v>
      </c>
      <c r="L15" s="25">
        <v>97</v>
      </c>
      <c r="M15" s="25">
        <v>97</v>
      </c>
    </row>
    <row r="16" spans="1:13">
      <c r="K16" s="25">
        <v>83</v>
      </c>
      <c r="L16" s="25">
        <v>83</v>
      </c>
      <c r="M16" s="25">
        <v>83</v>
      </c>
    </row>
    <row r="17" spans="11:13">
      <c r="K17" s="25">
        <v>145</v>
      </c>
      <c r="L17" s="25">
        <v>145</v>
      </c>
      <c r="M17" s="25">
        <v>145</v>
      </c>
    </row>
    <row r="18" spans="11:13">
      <c r="K18" s="25">
        <v>52</v>
      </c>
      <c r="L18" s="25">
        <v>52</v>
      </c>
      <c r="M18" s="25">
        <v>52</v>
      </c>
    </row>
    <row r="19" spans="11:13">
      <c r="K19" s="25">
        <v>50</v>
      </c>
      <c r="L19" s="25">
        <v>50</v>
      </c>
      <c r="M19" s="25">
        <v>50</v>
      </c>
    </row>
    <row r="20" spans="11:13">
      <c r="K20" s="25">
        <v>60</v>
      </c>
      <c r="L20" s="25">
        <v>60</v>
      </c>
      <c r="M20" s="25">
        <v>60</v>
      </c>
    </row>
    <row r="21" spans="11:13">
      <c r="K21" s="25">
        <v>29</v>
      </c>
      <c r="L21" s="25">
        <v>29</v>
      </c>
      <c r="M21" s="25">
        <v>29</v>
      </c>
    </row>
    <row r="22" spans="11:13">
      <c r="K22" s="25">
        <v>18</v>
      </c>
      <c r="L22" s="25">
        <v>18</v>
      </c>
      <c r="M22" s="25">
        <v>18</v>
      </c>
    </row>
    <row r="23" spans="11:13">
      <c r="K23" s="25">
        <v>83</v>
      </c>
      <c r="L23" s="25">
        <v>83</v>
      </c>
      <c r="M23" s="25">
        <v>83</v>
      </c>
    </row>
    <row r="24" spans="11:13">
      <c r="K24" s="25">
        <v>83</v>
      </c>
      <c r="L24" s="25">
        <v>83</v>
      </c>
      <c r="M24" s="25">
        <v>83</v>
      </c>
    </row>
    <row r="25" spans="11:13">
      <c r="K25" s="25">
        <v>83</v>
      </c>
      <c r="L25" s="25">
        <v>83</v>
      </c>
      <c r="M25" s="25">
        <v>83</v>
      </c>
    </row>
    <row r="26" spans="11:13">
      <c r="K26" s="25">
        <v>41</v>
      </c>
      <c r="L26" s="25">
        <v>41</v>
      </c>
      <c r="M26" s="25">
        <v>41</v>
      </c>
    </row>
    <row r="27" spans="11:13">
      <c r="K27" s="25">
        <v>83</v>
      </c>
      <c r="L27" s="25">
        <v>83</v>
      </c>
      <c r="M27" s="25">
        <v>83</v>
      </c>
    </row>
    <row r="28" spans="11:13">
      <c r="K28" s="25">
        <v>41</v>
      </c>
      <c r="L28" s="25">
        <v>41</v>
      </c>
      <c r="M28" s="25">
        <v>41</v>
      </c>
    </row>
    <row r="29" spans="11:13">
      <c r="K29" s="25">
        <v>17</v>
      </c>
      <c r="L29" s="25">
        <v>17</v>
      </c>
      <c r="M29" s="25">
        <v>17</v>
      </c>
    </row>
    <row r="30" spans="11:13">
      <c r="K30" s="25">
        <v>24</v>
      </c>
      <c r="L30" s="25">
        <v>24</v>
      </c>
      <c r="M30" s="25">
        <v>24</v>
      </c>
    </row>
    <row r="31" spans="11:13">
      <c r="K31" s="25">
        <v>40</v>
      </c>
      <c r="L31" s="25">
        <v>40</v>
      </c>
      <c r="M31" s="25">
        <v>40</v>
      </c>
    </row>
    <row r="32" spans="11:13">
      <c r="K32" s="25">
        <v>70</v>
      </c>
      <c r="L32" s="25">
        <v>70</v>
      </c>
      <c r="M32" s="25">
        <v>70</v>
      </c>
    </row>
    <row r="33" spans="11:13" ht="12.75">
      <c r="K33" s="25">
        <v>42</v>
      </c>
      <c r="L33" s="25">
        <v>42</v>
      </c>
      <c r="M33" s="25">
        <v>42</v>
      </c>
    </row>
    <row r="34" spans="11:13" ht="12.75">
      <c r="K34" s="25">
        <v>42</v>
      </c>
      <c r="L34" s="25">
        <v>42</v>
      </c>
      <c r="M34" s="25">
        <v>42</v>
      </c>
    </row>
    <row r="35" spans="11:13" ht="12.75">
      <c r="K35" s="25">
        <v>435</v>
      </c>
      <c r="L35" s="25">
        <v>435</v>
      </c>
      <c r="M35" s="25">
        <v>435</v>
      </c>
    </row>
    <row r="36" spans="11:13" ht="12.75">
      <c r="K36" s="25">
        <v>149</v>
      </c>
      <c r="L36" s="25">
        <v>149</v>
      </c>
      <c r="M36" s="25">
        <v>149</v>
      </c>
    </row>
    <row r="37" spans="11:13" ht="12.75">
      <c r="K37" s="25">
        <v>35</v>
      </c>
      <c r="L37" s="25">
        <v>35</v>
      </c>
      <c r="M37" s="25">
        <v>35</v>
      </c>
    </row>
    <row r="38" spans="11:13" ht="12.75">
      <c r="K38" s="25">
        <v>24</v>
      </c>
      <c r="L38" s="25">
        <v>24</v>
      </c>
      <c r="M38" s="25">
        <v>24</v>
      </c>
    </row>
    <row r="39" spans="11:13" ht="12.75">
      <c r="K39" s="25">
        <v>182</v>
      </c>
      <c r="L39" s="25">
        <v>182</v>
      </c>
      <c r="M39" s="25">
        <v>182</v>
      </c>
    </row>
    <row r="40" spans="11:13" ht="12.75">
      <c r="K40" s="25">
        <v>42</v>
      </c>
      <c r="L40" s="25">
        <v>42</v>
      </c>
      <c r="M40" s="25">
        <v>42</v>
      </c>
    </row>
    <row r="41" spans="11:13" ht="12.75">
      <c r="K41" s="25">
        <v>37</v>
      </c>
      <c r="L41" s="25">
        <v>37</v>
      </c>
      <c r="M41" s="25">
        <v>37</v>
      </c>
    </row>
    <row r="42" spans="11:13" ht="12.75">
      <c r="K42" s="25">
        <v>37</v>
      </c>
      <c r="L42" s="25">
        <v>37</v>
      </c>
      <c r="M42" s="25">
        <v>37</v>
      </c>
    </row>
    <row r="43" spans="11:13" ht="12.75">
      <c r="K43" s="25">
        <v>-129</v>
      </c>
      <c r="L43" s="25">
        <v>-129</v>
      </c>
    </row>
    <row r="44" spans="11:13" ht="12.75">
      <c r="K44" s="25">
        <v>19</v>
      </c>
      <c r="L44" s="25">
        <v>19</v>
      </c>
      <c r="M44" s="25">
        <v>19</v>
      </c>
    </row>
    <row r="45" spans="11:13" ht="12.75">
      <c r="K45" s="25">
        <v>20</v>
      </c>
      <c r="L45" s="25">
        <v>20</v>
      </c>
      <c r="M45" s="25">
        <v>20</v>
      </c>
    </row>
    <row r="46" spans="11:13" ht="12.75">
      <c r="K46" s="25">
        <v>17</v>
      </c>
      <c r="L46" s="25">
        <v>17</v>
      </c>
      <c r="M46" s="25">
        <v>17</v>
      </c>
    </row>
    <row r="47" spans="11:13" ht="12.75">
      <c r="K47" s="25">
        <v>17</v>
      </c>
      <c r="L47" s="25">
        <v>17</v>
      </c>
      <c r="M47" s="25">
        <v>17</v>
      </c>
    </row>
    <row r="48" spans="11:13" ht="12.75">
      <c r="K48" s="25">
        <v>33</v>
      </c>
      <c r="L48" s="25">
        <v>33</v>
      </c>
      <c r="M48" s="25">
        <v>33</v>
      </c>
    </row>
    <row r="49" spans="11:13" ht="12.75">
      <c r="K49" s="25">
        <v>17</v>
      </c>
      <c r="L49" s="25">
        <v>17</v>
      </c>
      <c r="M49" s="25">
        <v>17</v>
      </c>
    </row>
    <row r="50" spans="11:13" ht="12.75">
      <c r="K50" s="25">
        <v>59</v>
      </c>
      <c r="L50" s="25">
        <v>59</v>
      </c>
      <c r="M50" s="25">
        <v>59</v>
      </c>
    </row>
    <row r="51" spans="11:13" ht="12.75">
      <c r="K51" s="25">
        <v>42</v>
      </c>
      <c r="L51" s="25">
        <v>42</v>
      </c>
      <c r="M51" s="25">
        <v>42</v>
      </c>
    </row>
    <row r="52" spans="11:13" ht="12.75">
      <c r="K52" s="25">
        <v>29</v>
      </c>
      <c r="L52" s="25">
        <v>29</v>
      </c>
      <c r="M52" s="25">
        <v>29</v>
      </c>
    </row>
    <row r="53" spans="11:13" ht="12.75">
      <c r="K53" s="25">
        <v>113</v>
      </c>
      <c r="L53" s="25">
        <v>113</v>
      </c>
      <c r="M53" s="25">
        <v>113</v>
      </c>
    </row>
    <row r="54" spans="11:13" ht="12.75">
      <c r="K54" s="25">
        <v>118</v>
      </c>
      <c r="L54" s="25">
        <v>118</v>
      </c>
      <c r="M54" s="25">
        <v>118</v>
      </c>
    </row>
    <row r="55" spans="11:13" ht="12.75">
      <c r="K55" s="25">
        <v>76</v>
      </c>
      <c r="L55" s="25">
        <v>76</v>
      </c>
      <c r="M55" s="25">
        <v>76</v>
      </c>
    </row>
    <row r="56" spans="11:13" ht="12.75">
      <c r="K56" s="25">
        <v>30</v>
      </c>
      <c r="L56" s="25">
        <v>30</v>
      </c>
      <c r="M56" s="25">
        <v>30</v>
      </c>
    </row>
    <row r="57" spans="11:13" ht="12.75">
      <c r="K57" s="25">
        <v>27</v>
      </c>
      <c r="L57" s="25">
        <v>27</v>
      </c>
      <c r="M57" s="25">
        <v>27</v>
      </c>
    </row>
    <row r="58" spans="11:13" ht="12.75">
      <c r="K58" s="25">
        <v>143</v>
      </c>
      <c r="L58" s="25">
        <v>143</v>
      </c>
      <c r="M58" s="25">
        <v>143</v>
      </c>
    </row>
    <row r="59" spans="11:13" ht="12.75">
      <c r="K59" s="25">
        <v>125</v>
      </c>
      <c r="L59" s="25">
        <v>125</v>
      </c>
      <c r="M59" s="25">
        <v>125</v>
      </c>
    </row>
    <row r="60" spans="11:13" ht="12.75">
      <c r="K60" s="25">
        <v>128</v>
      </c>
      <c r="L60" s="25">
        <v>128</v>
      </c>
      <c r="M60" s="25">
        <v>128</v>
      </c>
    </row>
    <row r="61" spans="11:13" ht="12.75">
      <c r="K61" s="25">
        <v>32</v>
      </c>
      <c r="L61" s="25">
        <v>32</v>
      </c>
      <c r="M61" s="25">
        <v>32</v>
      </c>
    </row>
    <row r="62" spans="11:13" ht="12.75">
      <c r="K62" s="25">
        <v>284</v>
      </c>
      <c r="L62" s="25">
        <v>284</v>
      </c>
      <c r="M62" s="25">
        <v>284</v>
      </c>
    </row>
    <row r="63" spans="11:13" ht="12.75">
      <c r="K63" s="25">
        <v>24</v>
      </c>
      <c r="L63" s="25">
        <v>24</v>
      </c>
      <c r="M63" s="25">
        <v>24</v>
      </c>
    </row>
    <row r="64" spans="11:13" ht="12.75">
      <c r="K64" s="25">
        <v>42</v>
      </c>
      <c r="L64" s="25">
        <v>42</v>
      </c>
      <c r="M64" s="25">
        <v>42</v>
      </c>
    </row>
    <row r="65" spans="11:13" ht="12.75">
      <c r="K65" s="25">
        <v>33</v>
      </c>
      <c r="L65" s="25">
        <v>33</v>
      </c>
      <c r="M65" s="25">
        <v>33</v>
      </c>
    </row>
    <row r="66" spans="11:13" ht="12.75">
      <c r="K66" s="25">
        <v>33</v>
      </c>
      <c r="L66" s="25">
        <v>33</v>
      </c>
      <c r="M66" s="25">
        <v>33</v>
      </c>
    </row>
    <row r="67" spans="11:13" ht="12.75">
      <c r="K67" s="25">
        <v>34</v>
      </c>
      <c r="L67" s="25">
        <v>34</v>
      </c>
      <c r="M67" s="25">
        <v>34</v>
      </c>
    </row>
    <row r="68" spans="11:13" ht="12.75">
      <c r="K68" s="25">
        <v>50</v>
      </c>
      <c r="L68" s="25">
        <v>50</v>
      </c>
      <c r="M68" s="25">
        <v>50</v>
      </c>
    </row>
    <row r="69" spans="11:13" ht="12.75">
      <c r="K69" s="25">
        <v>51</v>
      </c>
      <c r="L69" s="25">
        <v>51</v>
      </c>
      <c r="M69" s="25">
        <v>51</v>
      </c>
    </row>
    <row r="70" spans="11:13" ht="12.75">
      <c r="K70" s="25">
        <v>50</v>
      </c>
      <c r="L70" s="25">
        <v>50</v>
      </c>
      <c r="M70" s="25">
        <v>50</v>
      </c>
    </row>
    <row r="71" spans="11:13" ht="12.75">
      <c r="K71" s="25">
        <v>27</v>
      </c>
      <c r="L71" s="25">
        <v>27</v>
      </c>
      <c r="M71" s="25">
        <v>27</v>
      </c>
    </row>
    <row r="72" spans="11:13" ht="12.75">
      <c r="K72" s="25">
        <v>57</v>
      </c>
      <c r="L72" s="25">
        <v>57</v>
      </c>
      <c r="M72" s="25">
        <v>57</v>
      </c>
    </row>
    <row r="73" spans="11:13" ht="12.75">
      <c r="K73" s="25">
        <v>34</v>
      </c>
      <c r="L73" s="25">
        <v>34</v>
      </c>
      <c r="M73" s="25">
        <v>34</v>
      </c>
    </row>
    <row r="74" spans="11:13" ht="12.75">
      <c r="K74" s="25">
        <v>32</v>
      </c>
      <c r="L74" s="25">
        <v>32</v>
      </c>
      <c r="M74" s="25">
        <v>32</v>
      </c>
    </row>
    <row r="75" spans="11:13" ht="12.75">
      <c r="K75" s="25">
        <v>9</v>
      </c>
      <c r="L75" s="25">
        <v>9</v>
      </c>
      <c r="M75" s="25">
        <v>9</v>
      </c>
    </row>
    <row r="76" spans="11:13" ht="12.75">
      <c r="K76" s="25">
        <v>42</v>
      </c>
      <c r="L76" s="25">
        <v>42</v>
      </c>
      <c r="M76" s="25">
        <v>42</v>
      </c>
    </row>
    <row r="77" spans="11:13" ht="12.75">
      <c r="K77" s="25">
        <v>167</v>
      </c>
      <c r="L77" s="25">
        <v>167</v>
      </c>
      <c r="M77" s="25">
        <v>167</v>
      </c>
    </row>
    <row r="78" spans="11:13" ht="12.75">
      <c r="K78" s="25">
        <v>42</v>
      </c>
      <c r="L78" s="25">
        <v>42</v>
      </c>
      <c r="M78" s="25">
        <v>42</v>
      </c>
    </row>
    <row r="79" spans="11:13" ht="12.75">
      <c r="K79" s="25">
        <v>17</v>
      </c>
      <c r="L79" s="25">
        <v>17</v>
      </c>
      <c r="M79" s="25">
        <v>17</v>
      </c>
    </row>
    <row r="80" spans="11:13" ht="12.75">
      <c r="K80" s="25">
        <v>9</v>
      </c>
      <c r="L80" s="25">
        <v>9</v>
      </c>
      <c r="M80" s="25">
        <v>9</v>
      </c>
    </row>
    <row r="81" spans="11:13" ht="12.75">
      <c r="K81" s="25">
        <v>12</v>
      </c>
      <c r="L81" s="25">
        <v>12</v>
      </c>
      <c r="M81" s="25">
        <v>12</v>
      </c>
    </row>
    <row r="82" spans="11:13" ht="12.75">
      <c r="K82" s="25">
        <v>110</v>
      </c>
      <c r="L82" s="25">
        <v>110</v>
      </c>
      <c r="M82" s="25">
        <v>110</v>
      </c>
    </row>
    <row r="83" spans="11:13" ht="12.75">
      <c r="K83" s="25">
        <v>14</v>
      </c>
      <c r="L83" s="25">
        <v>14</v>
      </c>
      <c r="M83" s="25">
        <v>14</v>
      </c>
    </row>
    <row r="84" spans="11:13" ht="12.75">
      <c r="K84" s="25">
        <v>41</v>
      </c>
      <c r="L84" s="25">
        <v>41</v>
      </c>
      <c r="M84" s="25">
        <v>41</v>
      </c>
    </row>
    <row r="85" spans="11:13" ht="12.75">
      <c r="K85" s="25">
        <v>33</v>
      </c>
      <c r="L85" s="25">
        <v>33</v>
      </c>
      <c r="M85" s="25">
        <v>33</v>
      </c>
    </row>
    <row r="86" spans="11:13" ht="12.75">
      <c r="K86" s="25">
        <v>167</v>
      </c>
      <c r="L86" s="25">
        <v>167</v>
      </c>
      <c r="M86" s="25">
        <v>167</v>
      </c>
    </row>
    <row r="87" spans="11:13" ht="12.75">
      <c r="K87" s="25">
        <v>110</v>
      </c>
      <c r="L87" s="25">
        <v>110</v>
      </c>
      <c r="M87" s="25">
        <v>110</v>
      </c>
    </row>
    <row r="88" spans="11:13" ht="12.75">
      <c r="K88" s="25">
        <v>110</v>
      </c>
      <c r="L88" s="25">
        <v>110</v>
      </c>
      <c r="M88" s="25">
        <v>110</v>
      </c>
    </row>
    <row r="89" spans="11:13" ht="12.75">
      <c r="K89" s="25">
        <v>29</v>
      </c>
      <c r="L89" s="25">
        <v>29</v>
      </c>
      <c r="M89" s="25">
        <v>29</v>
      </c>
    </row>
    <row r="90" spans="11:13" ht="12.75">
      <c r="K90" s="25">
        <v>50</v>
      </c>
      <c r="L90" s="25">
        <v>50</v>
      </c>
      <c r="M90" s="25">
        <v>50</v>
      </c>
    </row>
    <row r="91" spans="11:13" ht="12.75">
      <c r="K91" s="25">
        <v>6</v>
      </c>
      <c r="L91" s="25">
        <v>6</v>
      </c>
      <c r="M91" s="25">
        <v>6</v>
      </c>
    </row>
    <row r="92" spans="11:13" ht="12.75">
      <c r="K92" s="25">
        <v>33</v>
      </c>
      <c r="L92" s="25">
        <v>33</v>
      </c>
      <c r="M92" s="25">
        <v>33</v>
      </c>
    </row>
    <row r="93" spans="11:13" ht="12.75">
      <c r="K93" s="25">
        <v>40</v>
      </c>
      <c r="L93" s="25">
        <v>40</v>
      </c>
      <c r="M93" s="25">
        <v>40</v>
      </c>
    </row>
    <row r="94" spans="11:13" ht="12.75">
      <c r="K94" s="25">
        <v>167</v>
      </c>
      <c r="L94" s="36">
        <v>-31.693000000000001</v>
      </c>
      <c r="M94" s="25">
        <v>167</v>
      </c>
    </row>
    <row r="95" spans="11:13" ht="12.75">
      <c r="K95" s="25">
        <v>9</v>
      </c>
      <c r="L95" s="25">
        <v>9</v>
      </c>
      <c r="M95" s="25">
        <v>9</v>
      </c>
    </row>
    <row r="96" spans="11:13" ht="12.75">
      <c r="K96" s="25">
        <v>110</v>
      </c>
      <c r="L96" s="25">
        <v>110</v>
      </c>
      <c r="M96" s="25">
        <v>110</v>
      </c>
    </row>
    <row r="97" spans="11:13" ht="12.75">
      <c r="K97" s="25">
        <v>26</v>
      </c>
      <c r="L97" s="25">
        <v>26</v>
      </c>
      <c r="M97" s="25">
        <v>26</v>
      </c>
    </row>
    <row r="98" spans="11:13" ht="12.75">
      <c r="K98" s="25">
        <v>63</v>
      </c>
      <c r="L98" s="25">
        <v>63</v>
      </c>
      <c r="M98" s="25">
        <v>63</v>
      </c>
    </row>
    <row r="99" spans="11:13" ht="12.75">
      <c r="K99" s="25">
        <v>51</v>
      </c>
      <c r="L99" s="25">
        <v>51</v>
      </c>
      <c r="M99" s="25">
        <v>51</v>
      </c>
    </row>
    <row r="100" spans="11:13" ht="12.75">
      <c r="K100" s="25">
        <v>12</v>
      </c>
      <c r="L100" s="25">
        <v>12</v>
      </c>
      <c r="M100" s="25">
        <v>12</v>
      </c>
    </row>
    <row r="101" spans="11:13" ht="12.75">
      <c r="K101" s="25">
        <v>167</v>
      </c>
      <c r="L101" s="36">
        <v>-31.693000000000001</v>
      </c>
      <c r="M101" s="25">
        <v>167</v>
      </c>
    </row>
    <row r="102" spans="11:13" ht="12.75">
      <c r="K102" s="25">
        <v>49</v>
      </c>
      <c r="L102" s="25">
        <v>49</v>
      </c>
      <c r="M102" s="25">
        <v>49</v>
      </c>
    </row>
    <row r="103" spans="11:13" ht="12.75">
      <c r="K103" s="25">
        <v>138</v>
      </c>
      <c r="L103" s="25">
        <v>138</v>
      </c>
      <c r="M103" s="25">
        <v>138</v>
      </c>
    </row>
    <row r="104" spans="11:13" ht="12.75">
      <c r="K104" s="25">
        <v>40</v>
      </c>
      <c r="L104" s="25">
        <v>40</v>
      </c>
      <c r="M104" s="25">
        <v>40</v>
      </c>
    </row>
    <row r="105" spans="11:13" ht="12.75">
      <c r="K105" s="25">
        <v>114</v>
      </c>
      <c r="L105" s="25">
        <v>114</v>
      </c>
      <c r="M105" s="25">
        <v>114</v>
      </c>
    </row>
    <row r="106" spans="11:13" ht="12.75">
      <c r="K106" s="25">
        <v>104</v>
      </c>
      <c r="L106" s="25">
        <v>104</v>
      </c>
      <c r="M106" s="25">
        <v>104</v>
      </c>
    </row>
    <row r="107" spans="11:13" ht="12.75">
      <c r="K107" s="25">
        <v>31</v>
      </c>
      <c r="L107" s="25">
        <v>31</v>
      </c>
      <c r="M107" s="25">
        <v>31</v>
      </c>
    </row>
    <row r="108" spans="11:13" ht="12.75">
      <c r="K108" s="25">
        <v>17</v>
      </c>
      <c r="L108" s="25">
        <v>17</v>
      </c>
      <c r="M108" s="25">
        <v>17</v>
      </c>
    </row>
    <row r="109" spans="11:13" ht="12.75">
      <c r="K109" s="25">
        <v>41</v>
      </c>
      <c r="L109" s="25">
        <v>41</v>
      </c>
      <c r="M109" s="25">
        <v>41</v>
      </c>
    </row>
    <row r="110" spans="11:13" ht="12.75">
      <c r="K110" s="25">
        <v>16</v>
      </c>
      <c r="L110" s="25">
        <v>16</v>
      </c>
      <c r="M110" s="25">
        <v>16</v>
      </c>
    </row>
    <row r="111" spans="11:13" ht="12.75">
      <c r="K111" s="25">
        <v>167</v>
      </c>
      <c r="L111" s="36">
        <v>-31.693000000000001</v>
      </c>
      <c r="M111" s="25">
        <v>167</v>
      </c>
    </row>
    <row r="112" spans="11:13" ht="12.75">
      <c r="K112" s="25">
        <v>40</v>
      </c>
      <c r="L112" s="25">
        <v>40</v>
      </c>
      <c r="M112" s="25">
        <v>40</v>
      </c>
    </row>
    <row r="113" spans="11:13" ht="12.75">
      <c r="K113" s="25">
        <v>41</v>
      </c>
      <c r="L113" s="25">
        <v>41</v>
      </c>
      <c r="M113" s="25">
        <v>41</v>
      </c>
    </row>
    <row r="114" spans="11:13" ht="12.75">
      <c r="K114" s="25">
        <v>47</v>
      </c>
      <c r="L114" s="25">
        <v>47</v>
      </c>
      <c r="M114" s="25">
        <v>47</v>
      </c>
    </row>
    <row r="115" spans="11:13" ht="12.75">
      <c r="K115" s="25">
        <v>168</v>
      </c>
      <c r="L115" s="36">
        <v>-31.692</v>
      </c>
      <c r="M115" s="25">
        <v>168</v>
      </c>
    </row>
    <row r="116" spans="11:13" ht="12.75">
      <c r="K116" s="25">
        <v>168</v>
      </c>
      <c r="L116" s="25">
        <v>168</v>
      </c>
      <c r="M116" s="25">
        <v>168</v>
      </c>
    </row>
    <row r="117" spans="11:13" ht="12.75">
      <c r="K117" s="25">
        <v>168</v>
      </c>
      <c r="L117" s="36">
        <v>-31.692</v>
      </c>
      <c r="M117" s="25">
        <v>168</v>
      </c>
    </row>
    <row r="118" spans="11:13" ht="12.75">
      <c r="K118" s="25">
        <v>168</v>
      </c>
      <c r="L118" s="25">
        <v>168</v>
      </c>
      <c r="M118" s="25">
        <v>168</v>
      </c>
    </row>
    <row r="119" spans="11:13" ht="12.75">
      <c r="K119" s="25">
        <v>168</v>
      </c>
      <c r="L119" s="25">
        <v>168</v>
      </c>
      <c r="M119" s="25">
        <v>168</v>
      </c>
    </row>
    <row r="120" spans="11:13" ht="12.75">
      <c r="K120" s="25">
        <v>19</v>
      </c>
      <c r="L120" s="25">
        <v>19</v>
      </c>
      <c r="M120" s="25">
        <v>19</v>
      </c>
    </row>
    <row r="121" spans="11:13" ht="12.75">
      <c r="K121" s="25">
        <v>38</v>
      </c>
      <c r="L121" s="25">
        <v>38</v>
      </c>
      <c r="M121" s="25">
        <v>38</v>
      </c>
    </row>
    <row r="122" spans="11:13" ht="12.75">
      <c r="K122" s="25">
        <v>10</v>
      </c>
      <c r="L122" s="25">
        <v>10</v>
      </c>
      <c r="M122" s="25">
        <v>10</v>
      </c>
    </row>
    <row r="123" spans="11:13" ht="12.75">
      <c r="K123" s="25">
        <v>117</v>
      </c>
      <c r="L123" s="25">
        <v>117</v>
      </c>
      <c r="M123" s="25">
        <v>117</v>
      </c>
    </row>
    <row r="124" spans="11:13" ht="12.75">
      <c r="K124" s="25">
        <v>60</v>
      </c>
      <c r="L124" s="25">
        <v>60</v>
      </c>
      <c r="M124" s="25">
        <v>60</v>
      </c>
    </row>
    <row r="125" spans="11:13" ht="12.75">
      <c r="K125" s="25">
        <v>117</v>
      </c>
      <c r="L125" s="25">
        <v>117</v>
      </c>
      <c r="M125" s="25">
        <v>117</v>
      </c>
    </row>
    <row r="126" spans="11:13" ht="12.75">
      <c r="K126" s="25">
        <v>41</v>
      </c>
      <c r="L126" s="25">
        <v>41</v>
      </c>
      <c r="M126" s="25">
        <v>41</v>
      </c>
    </row>
    <row r="127" spans="11:13" ht="12.75">
      <c r="K127" s="25">
        <v>41</v>
      </c>
      <c r="L127" s="25">
        <v>41</v>
      </c>
      <c r="M127" s="25">
        <v>41</v>
      </c>
    </row>
    <row r="128" spans="11:13" ht="12.75">
      <c r="K128" s="25">
        <v>41</v>
      </c>
      <c r="L128" s="25">
        <v>41</v>
      </c>
      <c r="M128" s="25">
        <v>41</v>
      </c>
    </row>
    <row r="129" spans="11:13" ht="12.75">
      <c r="K129" s="25">
        <v>62</v>
      </c>
      <c r="L129" s="25">
        <v>62</v>
      </c>
      <c r="M129" s="25">
        <v>62</v>
      </c>
    </row>
    <row r="130" spans="11:13" ht="12.75">
      <c r="K130" s="25">
        <v>7</v>
      </c>
      <c r="L130" s="25">
        <v>7</v>
      </c>
      <c r="M130" s="25">
        <v>7</v>
      </c>
    </row>
    <row r="131" spans="11:13" ht="12.75">
      <c r="K131" s="25">
        <v>16</v>
      </c>
      <c r="L131" s="25">
        <v>16</v>
      </c>
      <c r="M131" s="25">
        <v>16</v>
      </c>
    </row>
    <row r="132" spans="11:13" ht="12.75">
      <c r="K132" s="25">
        <v>78</v>
      </c>
      <c r="L132" s="25">
        <v>78</v>
      </c>
      <c r="M132" s="25">
        <v>78</v>
      </c>
    </row>
    <row r="133" spans="11:13" ht="12.75">
      <c r="K133" s="25">
        <v>8</v>
      </c>
      <c r="L133" s="25">
        <v>8</v>
      </c>
      <c r="M133" s="25">
        <v>8</v>
      </c>
    </row>
    <row r="134" spans="11:13" ht="12.75">
      <c r="K134" s="25">
        <v>50</v>
      </c>
      <c r="L134" s="25">
        <v>50</v>
      </c>
      <c r="M134" s="25">
        <v>50</v>
      </c>
    </row>
    <row r="135" spans="11:13" ht="12.75">
      <c r="K135" s="25">
        <v>14</v>
      </c>
      <c r="L135" s="25">
        <v>14</v>
      </c>
      <c r="M135" s="25">
        <v>14</v>
      </c>
    </row>
    <row r="136" spans="11:13" ht="12.75">
      <c r="K136" s="25">
        <v>105</v>
      </c>
      <c r="L136" s="25">
        <v>105</v>
      </c>
      <c r="M136" s="25">
        <v>105</v>
      </c>
    </row>
    <row r="137" spans="11:13" ht="12.75">
      <c r="K137" s="25">
        <v>64</v>
      </c>
      <c r="L137" s="25">
        <v>64</v>
      </c>
      <c r="M137" s="25">
        <v>64</v>
      </c>
    </row>
    <row r="138" spans="11:13" ht="12.75">
      <c r="K138" s="25">
        <v>98</v>
      </c>
      <c r="L138" s="25">
        <v>98</v>
      </c>
      <c r="M138" s="25">
        <v>98</v>
      </c>
    </row>
    <row r="139" spans="11:13" ht="12.75">
      <c r="K139" s="25">
        <v>32</v>
      </c>
      <c r="L139" s="25">
        <v>32</v>
      </c>
      <c r="M139" s="25">
        <v>32</v>
      </c>
    </row>
    <row r="140" spans="11:13" ht="12.75">
      <c r="K140" s="25">
        <v>38</v>
      </c>
      <c r="L140" s="25">
        <v>38</v>
      </c>
      <c r="M140" s="25">
        <v>38</v>
      </c>
    </row>
    <row r="141" spans="11:13" ht="12.75">
      <c r="K141" s="25">
        <v>44</v>
      </c>
      <c r="L141" s="25">
        <v>44</v>
      </c>
      <c r="M141" s="25">
        <v>44</v>
      </c>
    </row>
    <row r="142" spans="11:13" ht="12.75">
      <c r="K142" s="25">
        <v>89</v>
      </c>
      <c r="L142" s="36">
        <v>-31.771000000000001</v>
      </c>
      <c r="M142" s="25">
        <v>89</v>
      </c>
    </row>
    <row r="143" spans="11:13" ht="12.75">
      <c r="K143" s="25">
        <v>21</v>
      </c>
      <c r="L143" s="25">
        <v>21</v>
      </c>
      <c r="M143" s="25">
        <v>21</v>
      </c>
    </row>
    <row r="144" spans="11:13" ht="12.75">
      <c r="K144" s="25">
        <v>66</v>
      </c>
      <c r="L144" s="25">
        <v>66</v>
      </c>
      <c r="M144" s="25">
        <v>66</v>
      </c>
    </row>
    <row r="145" spans="11:13" ht="12.75">
      <c r="K145" s="25">
        <v>25</v>
      </c>
      <c r="L145" s="25">
        <v>25</v>
      </c>
      <c r="M145" s="25">
        <v>25</v>
      </c>
    </row>
    <row r="146" spans="11:13" ht="12.75">
      <c r="K146" s="25">
        <v>6</v>
      </c>
      <c r="L146" s="25">
        <v>6</v>
      </c>
      <c r="M146" s="25">
        <v>6</v>
      </c>
    </row>
    <row r="147" spans="11:13" ht="12.75">
      <c r="K147" s="25">
        <v>39</v>
      </c>
      <c r="L147" s="25">
        <v>39</v>
      </c>
      <c r="M147" s="25">
        <v>39</v>
      </c>
    </row>
    <row r="148" spans="11:13" ht="12.75">
      <c r="K148" s="25">
        <v>88</v>
      </c>
      <c r="L148" s="25">
        <v>88</v>
      </c>
      <c r="M148" s="25">
        <v>88</v>
      </c>
    </row>
    <row r="149" spans="11:13" ht="12.75">
      <c r="K149" s="25">
        <v>30</v>
      </c>
      <c r="L149" s="25">
        <v>30</v>
      </c>
      <c r="M149" s="25">
        <v>30</v>
      </c>
    </row>
    <row r="150" spans="11:13" ht="12.75">
      <c r="K150" s="25">
        <v>10</v>
      </c>
      <c r="L150" s="25">
        <v>10</v>
      </c>
      <c r="M150" s="25">
        <v>10</v>
      </c>
    </row>
    <row r="151" spans="11:13" ht="12.75">
      <c r="K151" s="25">
        <v>38</v>
      </c>
      <c r="L151" s="25">
        <v>38</v>
      </c>
      <c r="M151" s="25">
        <v>38</v>
      </c>
    </row>
    <row r="152" spans="11:13" ht="12.75">
      <c r="K152" s="25">
        <v>71</v>
      </c>
      <c r="L152" s="36">
        <v>-31.789000000000001</v>
      </c>
      <c r="M152" s="25">
        <v>71</v>
      </c>
    </row>
    <row r="153" spans="11:13" ht="12.75">
      <c r="K153" s="25">
        <v>23</v>
      </c>
      <c r="L153" s="25">
        <v>23</v>
      </c>
      <c r="M153" s="25">
        <v>23</v>
      </c>
    </row>
    <row r="154" spans="11:13" ht="12.75">
      <c r="K154" s="25">
        <v>-2</v>
      </c>
      <c r="L154" s="25">
        <v>-2</v>
      </c>
    </row>
    <row r="155" spans="11:13" ht="12.75">
      <c r="K155" s="25">
        <v>33</v>
      </c>
      <c r="L155" s="25">
        <v>33</v>
      </c>
      <c r="M155" s="25">
        <v>33</v>
      </c>
    </row>
    <row r="156" spans="11:13" ht="12.75">
      <c r="K156" s="25">
        <v>73</v>
      </c>
      <c r="L156" s="36">
        <v>-31.786999999999999</v>
      </c>
      <c r="M156" s="25">
        <v>73</v>
      </c>
    </row>
    <row r="157" spans="11:13" ht="12.75">
      <c r="K157" s="25">
        <v>41</v>
      </c>
      <c r="L157" s="25">
        <v>41</v>
      </c>
      <c r="M157" s="25">
        <v>41</v>
      </c>
    </row>
    <row r="158" spans="11:13" ht="12.75">
      <c r="K158" s="25">
        <v>33</v>
      </c>
      <c r="L158" s="25">
        <v>33</v>
      </c>
      <c r="M158" s="25">
        <v>33</v>
      </c>
    </row>
    <row r="159" spans="11:13" ht="12.75">
      <c r="K159" s="25">
        <v>49</v>
      </c>
      <c r="L159" s="25">
        <v>49</v>
      </c>
      <c r="M159" s="25">
        <v>49</v>
      </c>
    </row>
    <row r="160" spans="11:13" ht="12.75">
      <c r="K160" s="25">
        <v>27</v>
      </c>
      <c r="L160" s="25">
        <v>27</v>
      </c>
      <c r="M160" s="25">
        <v>27</v>
      </c>
    </row>
    <row r="161" spans="11:13" ht="12.75">
      <c r="K161" s="25">
        <v>20</v>
      </c>
      <c r="L161" s="25">
        <v>20</v>
      </c>
      <c r="M161" s="25">
        <v>20</v>
      </c>
    </row>
    <row r="162" spans="11:13" ht="12.75">
      <c r="K162" s="25">
        <v>50</v>
      </c>
      <c r="L162" s="25">
        <v>50</v>
      </c>
      <c r="M162" s="25">
        <v>50</v>
      </c>
    </row>
    <row r="163" spans="11:13" ht="12.75">
      <c r="K163" s="25">
        <v>50</v>
      </c>
      <c r="L163" s="36">
        <v>-31.81</v>
      </c>
      <c r="M163" s="25">
        <v>50</v>
      </c>
    </row>
    <row r="164" spans="11:13" ht="12.75">
      <c r="K164" s="25">
        <v>5</v>
      </c>
      <c r="L164" s="25">
        <v>5</v>
      </c>
      <c r="M164" s="25">
        <v>5</v>
      </c>
    </row>
    <row r="165" spans="11:13" ht="12.75">
      <c r="K165" s="25">
        <v>33</v>
      </c>
      <c r="L165" s="25">
        <v>33</v>
      </c>
      <c r="M165" s="25">
        <v>33</v>
      </c>
    </row>
    <row r="166" spans="11:13" ht="12.75">
      <c r="K166" s="25">
        <v>3</v>
      </c>
      <c r="L166" s="25">
        <v>3</v>
      </c>
      <c r="M166" s="25">
        <v>3</v>
      </c>
    </row>
    <row r="167" spans="11:13" ht="12.75">
      <c r="K167" s="25">
        <v>43</v>
      </c>
      <c r="L167" s="25">
        <v>43</v>
      </c>
      <c r="M167" s="25">
        <v>43</v>
      </c>
    </row>
    <row r="168" spans="11:13" ht="12.75">
      <c r="K168" s="25">
        <v>43</v>
      </c>
      <c r="L168" s="25">
        <v>43</v>
      </c>
      <c r="M168" s="25">
        <v>43</v>
      </c>
    </row>
    <row r="169" spans="11:13" ht="12.75">
      <c r="K169" s="25">
        <v>4</v>
      </c>
      <c r="L169" s="25">
        <v>4</v>
      </c>
      <c r="M169" s="25">
        <v>4</v>
      </c>
    </row>
    <row r="170" spans="11:13" ht="12.75">
      <c r="K170" s="25">
        <v>40</v>
      </c>
      <c r="L170" s="25">
        <v>40</v>
      </c>
      <c r="M170" s="25">
        <v>40</v>
      </c>
    </row>
    <row r="171" spans="11:13" ht="12.75">
      <c r="K171" s="25">
        <v>40</v>
      </c>
      <c r="L171" s="25">
        <v>40</v>
      </c>
      <c r="M171" s="25">
        <v>40</v>
      </c>
    </row>
    <row r="172" spans="11:13" ht="12.75">
      <c r="K172" s="25">
        <v>17</v>
      </c>
      <c r="L172" s="25">
        <v>17</v>
      </c>
      <c r="M172" s="25">
        <v>17</v>
      </c>
    </row>
    <row r="173" spans="11:13" ht="12.75">
      <c r="K173" s="25">
        <v>36</v>
      </c>
      <c r="L173" s="36">
        <v>-31.824000000000002</v>
      </c>
      <c r="M173" s="25">
        <v>36</v>
      </c>
    </row>
    <row r="174" spans="11:13" ht="12.75">
      <c r="K174" s="25">
        <v>13</v>
      </c>
      <c r="L174" s="25">
        <v>13</v>
      </c>
      <c r="M174" s="25">
        <v>13</v>
      </c>
    </row>
    <row r="175" spans="11:13" ht="12.75">
      <c r="K175" s="25">
        <v>19</v>
      </c>
      <c r="L175" s="25">
        <v>19</v>
      </c>
      <c r="M175" s="25">
        <v>19</v>
      </c>
    </row>
    <row r="176" spans="11:13" ht="12.75">
      <c r="K176" s="25">
        <v>20</v>
      </c>
      <c r="L176" s="36">
        <v>-31.84</v>
      </c>
      <c r="M176" s="25">
        <v>20</v>
      </c>
    </row>
    <row r="179" spans="11:13" ht="12.75">
      <c r="K179" s="25">
        <v>8</v>
      </c>
      <c r="L179" s="36">
        <v>-31.852</v>
      </c>
      <c r="M179" s="25">
        <v>8</v>
      </c>
    </row>
    <row r="180" spans="11:13" ht="12.75">
      <c r="K180" s="25">
        <v>5</v>
      </c>
      <c r="L180" s="25">
        <v>5</v>
      </c>
      <c r="M180" s="25">
        <v>5</v>
      </c>
    </row>
    <row r="181" spans="11:13" ht="12.75">
      <c r="K181" s="25">
        <v>5</v>
      </c>
      <c r="L181" s="25">
        <v>5</v>
      </c>
      <c r="M181" s="25">
        <v>5</v>
      </c>
    </row>
    <row r="182" spans="11:13" ht="12.75">
      <c r="K182" s="25">
        <v>1</v>
      </c>
      <c r="L182" s="36">
        <v>-31.859000000000002</v>
      </c>
      <c r="M182" s="25">
        <v>1</v>
      </c>
    </row>
    <row r="183" spans="11:13" ht="12.75">
      <c r="K183" s="25">
        <v>-7</v>
      </c>
      <c r="L183" s="36">
        <v>-31.864999999999998</v>
      </c>
      <c r="M183" s="25">
        <v>-7</v>
      </c>
    </row>
    <row r="184" spans="11:13" ht="12.75">
      <c r="K184" s="25">
        <v>-9</v>
      </c>
      <c r="L184" s="36">
        <v>-31.867000000000001</v>
      </c>
      <c r="M184" s="25">
        <v>-9</v>
      </c>
    </row>
  </sheetData>
  <dataValidations count="2">
    <dataValidation type="custom" allowBlank="1" showDropDown="1" sqref="C11:C13" xr:uid="{00000000-0002-0000-0300-000000000000}">
      <formula1>OR(NOT(ISERROR(DATEVALUE(C11))), AND(ISNUMBER(C11), LEFT(CELL("format", C11))="D"))</formula1>
    </dataValidation>
    <dataValidation type="custom" allowBlank="1" showDropDown="1" showErrorMessage="1" sqref="B11:B13" xr:uid="{00000000-0002-0000-0300-000001000000}">
      <formula1>OR(NOT(ISERROR(DATEVALUE(B11))), AND(ISNUMBER(B11), LEFT(CELL("format", B11))="D"))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J2154"/>
  <sheetViews>
    <sheetView workbookViewId="0"/>
  </sheetViews>
  <sheetFormatPr defaultColWidth="12.5703125" defaultRowHeight="15.75" customHeight="1"/>
  <cols>
    <col min="1" max="1" width="12.7109375" customWidth="1"/>
    <col min="2" max="2" width="17" customWidth="1"/>
  </cols>
  <sheetData>
    <row r="1" spans="1:10">
      <c r="A1" s="38" t="str">
        <f ca="1">IFERROR(__xludf.DUMMYFUNCTION("QUERY(IMPORTRANGE(""1xMGDYLxcqjZMIG19CE158gz3iuAgpLMMsCOnQ4d4YGs"",""1) Feriados!A1:A""),""SELECT * WHERE Col1 IS NOT NULL"")"),"FERIADOS_GENERALES")</f>
        <v>FERIADOS_GENERALES</v>
      </c>
      <c r="B1" s="39" t="s">
        <v>6</v>
      </c>
      <c r="C1" s="39" t="s">
        <v>1</v>
      </c>
      <c r="D1" s="39" t="s">
        <v>8</v>
      </c>
      <c r="E1" s="39" t="s">
        <v>7</v>
      </c>
      <c r="F1" s="39" t="s">
        <v>255</v>
      </c>
      <c r="G1" s="39" t="s">
        <v>256</v>
      </c>
      <c r="H1" s="39" t="s">
        <v>257</v>
      </c>
      <c r="I1" s="39" t="s">
        <v>258</v>
      </c>
      <c r="J1" s="40" t="s">
        <v>259</v>
      </c>
    </row>
    <row r="2" spans="1:10">
      <c r="A2" s="41">
        <f ca="1">IFERROR(__xludf.DUMMYFUNCTION("""COMPUTED_VALUE"""),41275)</f>
        <v>41275</v>
      </c>
      <c r="B2" s="25" t="str">
        <f ca="1">IFERROR(__xludf.DUMMYFUNCTION("QUERY(ARRAYFORMULA(TO_TEXT(IMPORTRANGE(""1Z0nw7Y19_HDSxmNMQtb-wjhzqt8bsSlIMntkIp-oBPA"",""Entidades_SRB!A$2:N""))),""SELECT Col2, Col3, Col4, Col5, Col6, Col7, Col13, Col14"")"),"MUNICIPALIDAD PROVINCIAL")</f>
        <v>MUNICIPALIDAD PROVINCIAL</v>
      </c>
      <c r="C2" s="25" t="str">
        <f ca="1">IFERROR(__xludf.DUMMYFUNCTION("""COMPUTED_VALUE"""),"MUNICIPALIDAD PROVINCIAL DE BAGUA")</f>
        <v>MUNICIPALIDAD PROVINCIAL DE BAGUA</v>
      </c>
      <c r="D2" s="25" t="str">
        <f ca="1">IFERROR(__xludf.DUMMYFUNCTION("""COMPUTED_VALUE"""),"LAMBAYEQUE")</f>
        <v>LAMBAYEQUE</v>
      </c>
      <c r="E2" s="25" t="str">
        <f ca="1">IFERROR(__xludf.DUMMYFUNCTION("""COMPUTED_VALUE"""),"AMAZONAS")</f>
        <v>AMAZONAS</v>
      </c>
      <c r="F2" s="25" t="str">
        <f ca="1">IFERROR(__xludf.DUMMYFUNCTION("""COMPUTED_VALUE"""),"BAGUA")</f>
        <v>BAGUA</v>
      </c>
      <c r="G2" s="25" t="str">
        <f ca="1">IFERROR(__xludf.DUMMYFUNCTION("""COMPUTED_VALUE"""),"BAGUA")</f>
        <v>BAGUA</v>
      </c>
      <c r="H2" s="25" t="str">
        <f ca="1">IFERROR(__xludf.DUMMYFUNCTION("""COMPUTED_VALUE"""),"URBANO")</f>
        <v>URBANO</v>
      </c>
      <c r="I2" s="25" t="str">
        <f ca="1">IFERROR(__xludf.DUMMYFUNCTION("""COMPUTED_VALUE"""),"Prioridad 1")</f>
        <v>Prioridad 1</v>
      </c>
      <c r="J2" s="42" t="s">
        <v>260</v>
      </c>
    </row>
    <row r="3" spans="1:10">
      <c r="A3" s="41">
        <f ca="1">IFERROR(__xludf.DUMMYFUNCTION("""COMPUTED_VALUE"""),41361)</f>
        <v>41361</v>
      </c>
      <c r="B3" s="25" t="str">
        <f ca="1">IFERROR(__xludf.DUMMYFUNCTION("""COMPUTED_VALUE"""),"MUNICIPALIDAD DISTRITAL")</f>
        <v>MUNICIPALIDAD DISTRITAL</v>
      </c>
      <c r="C3" s="25" t="str">
        <f ca="1">IFERROR(__xludf.DUMMYFUNCTION("""COMPUTED_VALUE"""),"MUNICIPALIDAD DISTRITAL DE COPALLIN")</f>
        <v>MUNICIPALIDAD DISTRITAL DE COPALLIN</v>
      </c>
      <c r="D3" s="25" t="str">
        <f ca="1">IFERROR(__xludf.DUMMYFUNCTION("""COMPUTED_VALUE"""),"LAMBAYEQUE")</f>
        <v>LAMBAYEQUE</v>
      </c>
      <c r="E3" s="25" t="str">
        <f ca="1">IFERROR(__xludf.DUMMYFUNCTION("""COMPUTED_VALUE"""),"AMAZONAS")</f>
        <v>AMAZONAS</v>
      </c>
      <c r="F3" s="25" t="str">
        <f ca="1">IFERROR(__xludf.DUMMYFUNCTION("""COMPUTED_VALUE"""),"BAGUA")</f>
        <v>BAGUA</v>
      </c>
      <c r="G3" s="25" t="str">
        <f ca="1">IFERROR(__xludf.DUMMYFUNCTION("""COMPUTED_VALUE"""),"COPALLIN")</f>
        <v>COPALLIN</v>
      </c>
      <c r="H3" s="25" t="str">
        <f ca="1">IFERROR(__xludf.DUMMYFUNCTION("""COMPUTED_VALUE"""),"URBANO")</f>
        <v>URBANO</v>
      </c>
      <c r="I3" s="25" t="str">
        <f ca="1">IFERROR(__xludf.DUMMYFUNCTION("""COMPUTED_VALUE"""),"Prioridad 5")</f>
        <v>Prioridad 5</v>
      </c>
      <c r="J3" s="42" t="s">
        <v>260</v>
      </c>
    </row>
    <row r="4" spans="1:10">
      <c r="A4" s="41">
        <f ca="1">IFERROR(__xludf.DUMMYFUNCTION("""COMPUTED_VALUE"""),41362)</f>
        <v>41362</v>
      </c>
      <c r="B4" s="25" t="str">
        <f ca="1">IFERROR(__xludf.DUMMYFUNCTION("""COMPUTED_VALUE"""),"MUNICIPALIDAD DISTRITAL")</f>
        <v>MUNICIPALIDAD DISTRITAL</v>
      </c>
      <c r="C4" s="25" t="str">
        <f ca="1">IFERROR(__xludf.DUMMYFUNCTION("""COMPUTED_VALUE"""),"MUNICIPALIDAD DISTRITAL DE EL PARCO")</f>
        <v>MUNICIPALIDAD DISTRITAL DE EL PARCO</v>
      </c>
      <c r="D4" s="25" t="str">
        <f ca="1">IFERROR(__xludf.DUMMYFUNCTION("""COMPUTED_VALUE"""),"LAMBAYEQUE")</f>
        <v>LAMBAYEQUE</v>
      </c>
      <c r="E4" s="25" t="str">
        <f ca="1">IFERROR(__xludf.DUMMYFUNCTION("""COMPUTED_VALUE"""),"AMAZONAS")</f>
        <v>AMAZONAS</v>
      </c>
      <c r="F4" s="25" t="str">
        <f ca="1">IFERROR(__xludf.DUMMYFUNCTION("""COMPUTED_VALUE"""),"BAGUA")</f>
        <v>BAGUA</v>
      </c>
      <c r="G4" s="25" t="str">
        <f ca="1">IFERROR(__xludf.DUMMYFUNCTION("""COMPUTED_VALUE"""),"EL PARCO")</f>
        <v>EL PARCO</v>
      </c>
      <c r="H4" s="25" t="str">
        <f ca="1">IFERROR(__xludf.DUMMYFUNCTION("""COMPUTED_VALUE"""),"RURAL")</f>
        <v>RURAL</v>
      </c>
      <c r="I4" s="25" t="str">
        <f ca="1">IFERROR(__xludf.DUMMYFUNCTION("""COMPUTED_VALUE"""),"Prioridad 5")</f>
        <v>Prioridad 5</v>
      </c>
      <c r="J4" s="42" t="s">
        <v>260</v>
      </c>
    </row>
    <row r="5" spans="1:10">
      <c r="A5" s="41">
        <f ca="1">IFERROR(__xludf.DUMMYFUNCTION("""COMPUTED_VALUE"""),41395)</f>
        <v>41395</v>
      </c>
      <c r="B5" s="25" t="str">
        <f ca="1">IFERROR(__xludf.DUMMYFUNCTION("""COMPUTED_VALUE"""),"MUNICIPALIDAD DISTRITAL")</f>
        <v>MUNICIPALIDAD DISTRITAL</v>
      </c>
      <c r="C5" s="25" t="str">
        <f ca="1">IFERROR(__xludf.DUMMYFUNCTION("""COMPUTED_VALUE"""),"MUNICIPALIDAD DISTRITAL DE LA PECA")</f>
        <v>MUNICIPALIDAD DISTRITAL DE LA PECA</v>
      </c>
      <c r="D5" s="25" t="str">
        <f ca="1">IFERROR(__xludf.DUMMYFUNCTION("""COMPUTED_VALUE"""),"LAMBAYEQUE")</f>
        <v>LAMBAYEQUE</v>
      </c>
      <c r="E5" s="25" t="str">
        <f ca="1">IFERROR(__xludf.DUMMYFUNCTION("""COMPUTED_VALUE"""),"AMAZONAS")</f>
        <v>AMAZONAS</v>
      </c>
      <c r="F5" s="25" t="str">
        <f ca="1">IFERROR(__xludf.DUMMYFUNCTION("""COMPUTED_VALUE"""),"BAGUA")</f>
        <v>BAGUA</v>
      </c>
      <c r="G5" s="25" t="str">
        <f ca="1">IFERROR(__xludf.DUMMYFUNCTION("""COMPUTED_VALUE"""),"LA PECA")</f>
        <v>LA PECA</v>
      </c>
      <c r="H5" s="25" t="str">
        <f ca="1">IFERROR(__xludf.DUMMYFUNCTION("""COMPUTED_VALUE"""),"URBANO")</f>
        <v>URBANO</v>
      </c>
      <c r="I5" s="25" t="str">
        <f ca="1">IFERROR(__xludf.DUMMYFUNCTION("""COMPUTED_VALUE"""),"Prioridad 3")</f>
        <v>Prioridad 3</v>
      </c>
      <c r="J5" s="42" t="s">
        <v>260</v>
      </c>
    </row>
    <row r="6" spans="1:10">
      <c r="A6" s="41">
        <f ca="1">IFERROR(__xludf.DUMMYFUNCTION("""COMPUTED_VALUE"""),41449)</f>
        <v>41449</v>
      </c>
      <c r="B6" s="25" t="str">
        <f ca="1">IFERROR(__xludf.DUMMYFUNCTION("""COMPUTED_VALUE"""),"MUNICIPALIDAD DISTRITAL")</f>
        <v>MUNICIPALIDAD DISTRITAL</v>
      </c>
      <c r="C6" s="25" t="str">
        <f ca="1">IFERROR(__xludf.DUMMYFUNCTION("""COMPUTED_VALUE"""),"MUNICIPALIDAD DISTRITAL DE ARAMANGO")</f>
        <v>MUNICIPALIDAD DISTRITAL DE ARAMANGO</v>
      </c>
      <c r="D6" s="25" t="str">
        <f ca="1">IFERROR(__xludf.DUMMYFUNCTION("""COMPUTED_VALUE"""),"LAMBAYEQUE")</f>
        <v>LAMBAYEQUE</v>
      </c>
      <c r="E6" s="25" t="str">
        <f ca="1">IFERROR(__xludf.DUMMYFUNCTION("""COMPUTED_VALUE"""),"AMAZONAS")</f>
        <v>AMAZONAS</v>
      </c>
      <c r="F6" s="25" t="str">
        <f ca="1">IFERROR(__xludf.DUMMYFUNCTION("""COMPUTED_VALUE"""),"BAGUA")</f>
        <v>BAGUA</v>
      </c>
      <c r="G6" s="25" t="str">
        <f ca="1">IFERROR(__xludf.DUMMYFUNCTION("""COMPUTED_VALUE"""),"ARAMANGO")</f>
        <v>ARAMANGO</v>
      </c>
      <c r="H6" s="25" t="str">
        <f ca="1">IFERROR(__xludf.DUMMYFUNCTION("""COMPUTED_VALUE"""),"RURAL")</f>
        <v>RURAL</v>
      </c>
      <c r="I6" s="25" t="str">
        <f ca="1">IFERROR(__xludf.DUMMYFUNCTION("""COMPUTED_VALUE"""),"Prioridad 3")</f>
        <v>Prioridad 3</v>
      </c>
      <c r="J6" s="42" t="s">
        <v>260</v>
      </c>
    </row>
    <row r="7" spans="1:10">
      <c r="A7" s="41">
        <f ca="1">IFERROR(__xludf.DUMMYFUNCTION("""COMPUTED_VALUE"""),41484)</f>
        <v>41484</v>
      </c>
      <c r="B7" s="25" t="str">
        <f ca="1">IFERROR(__xludf.DUMMYFUNCTION("""COMPUTED_VALUE"""),"MUNICIPALIDAD DISTRITAL")</f>
        <v>MUNICIPALIDAD DISTRITAL</v>
      </c>
      <c r="C7" s="25" t="str">
        <f ca="1">IFERROR(__xludf.DUMMYFUNCTION("""COMPUTED_VALUE"""),"MUNICIPALIDAD DISTRITAL DE IMAZA")</f>
        <v>MUNICIPALIDAD DISTRITAL DE IMAZA</v>
      </c>
      <c r="D7" s="25" t="str">
        <f ca="1">IFERROR(__xludf.DUMMYFUNCTION("""COMPUTED_VALUE"""),"LAMBAYEQUE")</f>
        <v>LAMBAYEQUE</v>
      </c>
      <c r="E7" s="25" t="str">
        <f ca="1">IFERROR(__xludf.DUMMYFUNCTION("""COMPUTED_VALUE"""),"AMAZONAS")</f>
        <v>AMAZONAS</v>
      </c>
      <c r="F7" s="25" t="str">
        <f ca="1">IFERROR(__xludf.DUMMYFUNCTION("""COMPUTED_VALUE"""),"BAGUA")</f>
        <v>BAGUA</v>
      </c>
      <c r="G7" s="25" t="str">
        <f ca="1">IFERROR(__xludf.DUMMYFUNCTION("""COMPUTED_VALUE"""),"IMAZA")</f>
        <v>IMAZA</v>
      </c>
      <c r="H7" s="25" t="str">
        <f ca="1">IFERROR(__xludf.DUMMYFUNCTION("""COMPUTED_VALUE"""),"RURAL")</f>
        <v>RURAL</v>
      </c>
      <c r="I7" s="25" t="str">
        <f ca="1">IFERROR(__xludf.DUMMYFUNCTION("""COMPUTED_VALUE"""),"Prioridad 3")</f>
        <v>Prioridad 3</v>
      </c>
      <c r="J7" s="42" t="s">
        <v>260</v>
      </c>
    </row>
    <row r="8" spans="1:10">
      <c r="A8" s="41">
        <f ca="1">IFERROR(__xludf.DUMMYFUNCTION("""COMPUTED_VALUE"""),41516)</f>
        <v>41516</v>
      </c>
      <c r="B8" s="25" t="str">
        <f ca="1">IFERROR(__xludf.DUMMYFUNCTION("""COMPUTED_VALUE"""),"MUNICIPALIDAD PROVINCIAL")</f>
        <v>MUNICIPALIDAD PROVINCIAL</v>
      </c>
      <c r="C8" s="25" t="str">
        <f ca="1">IFERROR(__xludf.DUMMYFUNCTION("""COMPUTED_VALUE"""),"MUNICIPALIDAD PROVINCIAL DE BONGARA")</f>
        <v>MUNICIPALIDAD PROVINCIAL DE BONGARA</v>
      </c>
      <c r="D8" s="25" t="str">
        <f ca="1">IFERROR(__xludf.DUMMYFUNCTION("""COMPUTED_VALUE"""),"SAN MARTÍN")</f>
        <v>SAN MARTÍN</v>
      </c>
      <c r="E8" s="25" t="str">
        <f ca="1">IFERROR(__xludf.DUMMYFUNCTION("""COMPUTED_VALUE"""),"AMAZONAS")</f>
        <v>AMAZONAS</v>
      </c>
      <c r="F8" s="25" t="str">
        <f ca="1">IFERROR(__xludf.DUMMYFUNCTION("""COMPUTED_VALUE"""),"BONGARA")</f>
        <v>BONGARA</v>
      </c>
      <c r="G8" s="25" t="str">
        <f ca="1">IFERROR(__xludf.DUMMYFUNCTION("""COMPUTED_VALUE"""),"JUMBILLA")</f>
        <v>JUMBILLA</v>
      </c>
      <c r="H8" s="25" t="str">
        <f ca="1">IFERROR(__xludf.DUMMYFUNCTION("""COMPUTED_VALUE"""),"RURAL")</f>
        <v>RURAL</v>
      </c>
      <c r="I8" s="25" t="str">
        <f ca="1">IFERROR(__xludf.DUMMYFUNCTION("""COMPUTED_VALUE"""),"Prioridad 3")</f>
        <v>Prioridad 3</v>
      </c>
      <c r="J8" s="42" t="s">
        <v>260</v>
      </c>
    </row>
    <row r="9" spans="1:10">
      <c r="A9" s="41">
        <f ca="1">IFERROR(__xludf.DUMMYFUNCTION("""COMPUTED_VALUE"""),41555)</f>
        <v>41555</v>
      </c>
      <c r="B9" s="25" t="str">
        <f ca="1">IFERROR(__xludf.DUMMYFUNCTION("""COMPUTED_VALUE"""),"MUNICIPALIDAD DISTRITAL")</f>
        <v>MUNICIPALIDAD DISTRITAL</v>
      </c>
      <c r="C9" s="25" t="str">
        <f ca="1">IFERROR(__xludf.DUMMYFUNCTION("""COMPUTED_VALUE"""),"MUNICIPALIDAD DISTRITAL DE CHISQUILLA")</f>
        <v>MUNICIPALIDAD DISTRITAL DE CHISQUILLA</v>
      </c>
      <c r="D9" s="25" t="str">
        <f ca="1">IFERROR(__xludf.DUMMYFUNCTION("""COMPUTED_VALUE"""),"SAN MARTÍN")</f>
        <v>SAN MARTÍN</v>
      </c>
      <c r="E9" s="25" t="str">
        <f ca="1">IFERROR(__xludf.DUMMYFUNCTION("""COMPUTED_VALUE"""),"AMAZONAS")</f>
        <v>AMAZONAS</v>
      </c>
      <c r="F9" s="25" t="str">
        <f ca="1">IFERROR(__xludf.DUMMYFUNCTION("""COMPUTED_VALUE"""),"BONGARA")</f>
        <v>BONGARA</v>
      </c>
      <c r="G9" s="25" t="str">
        <f ca="1">IFERROR(__xludf.DUMMYFUNCTION("""COMPUTED_VALUE"""),"CHISQUILLA")</f>
        <v>CHISQUILLA</v>
      </c>
      <c r="H9" s="25" t="str">
        <f ca="1">IFERROR(__xludf.DUMMYFUNCTION("""COMPUTED_VALUE"""),"RURAL")</f>
        <v>RURAL</v>
      </c>
      <c r="I9" s="25" t="str">
        <f ca="1">IFERROR(__xludf.DUMMYFUNCTION("""COMPUTED_VALUE"""),"Prioridad 3")</f>
        <v>Prioridad 3</v>
      </c>
      <c r="J9" s="42" t="s">
        <v>260</v>
      </c>
    </row>
    <row r="10" spans="1:10">
      <c r="A10" s="41">
        <f ca="1">IFERROR(__xludf.DUMMYFUNCTION("""COMPUTED_VALUE"""),41579)</f>
        <v>41579</v>
      </c>
      <c r="B10" s="25" t="str">
        <f ca="1">IFERROR(__xludf.DUMMYFUNCTION("""COMPUTED_VALUE"""),"MUNICIPALIDAD DISTRITAL")</f>
        <v>MUNICIPALIDAD DISTRITAL</v>
      </c>
      <c r="C10" s="25" t="str">
        <f ca="1">IFERROR(__xludf.DUMMYFUNCTION("""COMPUTED_VALUE"""),"MUNICIPALIDAD DISTRITAL DE CHURUJA")</f>
        <v>MUNICIPALIDAD DISTRITAL DE CHURUJA</v>
      </c>
      <c r="D10" s="25" t="str">
        <f ca="1">IFERROR(__xludf.DUMMYFUNCTION("""COMPUTED_VALUE"""),"SAN MARTÍN")</f>
        <v>SAN MARTÍN</v>
      </c>
      <c r="E10" s="25" t="str">
        <f ca="1">IFERROR(__xludf.DUMMYFUNCTION("""COMPUTED_VALUE"""),"AMAZONAS")</f>
        <v>AMAZONAS</v>
      </c>
      <c r="F10" s="25" t="str">
        <f ca="1">IFERROR(__xludf.DUMMYFUNCTION("""COMPUTED_VALUE"""),"BONGARA")</f>
        <v>BONGARA</v>
      </c>
      <c r="G10" s="25" t="str">
        <f ca="1">IFERROR(__xludf.DUMMYFUNCTION("""COMPUTED_VALUE"""),"CHURUJA")</f>
        <v>CHURUJA</v>
      </c>
      <c r="H10" s="25" t="str">
        <f ca="1">IFERROR(__xludf.DUMMYFUNCTION("""COMPUTED_VALUE"""),"RURAL")</f>
        <v>RURAL</v>
      </c>
      <c r="I10" s="25" t="str">
        <f ca="1">IFERROR(__xludf.DUMMYFUNCTION("""COMPUTED_VALUE"""),"Prioridad 2")</f>
        <v>Prioridad 2</v>
      </c>
      <c r="J10" s="42" t="s">
        <v>260</v>
      </c>
    </row>
    <row r="11" spans="1:10">
      <c r="A11" s="41">
        <f ca="1">IFERROR(__xludf.DUMMYFUNCTION("""COMPUTED_VALUE"""),41633)</f>
        <v>41633</v>
      </c>
      <c r="B11" s="25" t="str">
        <f ca="1">IFERROR(__xludf.DUMMYFUNCTION("""COMPUTED_VALUE"""),"MUNICIPALIDAD DISTRITAL")</f>
        <v>MUNICIPALIDAD DISTRITAL</v>
      </c>
      <c r="C11" s="25" t="str">
        <f ca="1">IFERROR(__xludf.DUMMYFUNCTION("""COMPUTED_VALUE"""),"MUNICIPALIDAD DISTRITAL DE COROSHA")</f>
        <v>MUNICIPALIDAD DISTRITAL DE COROSHA</v>
      </c>
      <c r="D11" s="25" t="str">
        <f ca="1">IFERROR(__xludf.DUMMYFUNCTION("""COMPUTED_VALUE"""),"SAN MARTÍN")</f>
        <v>SAN MARTÍN</v>
      </c>
      <c r="E11" s="25" t="str">
        <f ca="1">IFERROR(__xludf.DUMMYFUNCTION("""COMPUTED_VALUE"""),"AMAZONAS")</f>
        <v>AMAZONAS</v>
      </c>
      <c r="F11" s="25" t="str">
        <f ca="1">IFERROR(__xludf.DUMMYFUNCTION("""COMPUTED_VALUE"""),"BONGARA")</f>
        <v>BONGARA</v>
      </c>
      <c r="G11" s="25" t="str">
        <f ca="1">IFERROR(__xludf.DUMMYFUNCTION("""COMPUTED_VALUE"""),"COROSHA")</f>
        <v>COROSHA</v>
      </c>
      <c r="H11" s="25" t="str">
        <f ca="1">IFERROR(__xludf.DUMMYFUNCTION("""COMPUTED_VALUE"""),"RURAL")</f>
        <v>RURAL</v>
      </c>
      <c r="I11" s="25" t="str">
        <f ca="1">IFERROR(__xludf.DUMMYFUNCTION("""COMPUTED_VALUE"""),"Prioridad 5")</f>
        <v>Prioridad 5</v>
      </c>
      <c r="J11" s="42" t="s">
        <v>260</v>
      </c>
    </row>
    <row r="12" spans="1:10">
      <c r="A12" s="41">
        <f ca="1">IFERROR(__xludf.DUMMYFUNCTION("""COMPUTED_VALUE"""),41640)</f>
        <v>41640</v>
      </c>
      <c r="B12" s="25" t="str">
        <f ca="1">IFERROR(__xludf.DUMMYFUNCTION("""COMPUTED_VALUE"""),"MUNICIPALIDAD DISTRITAL")</f>
        <v>MUNICIPALIDAD DISTRITAL</v>
      </c>
      <c r="C12" s="25" t="str">
        <f ca="1">IFERROR(__xludf.DUMMYFUNCTION("""COMPUTED_VALUE"""),"MUNICIPALIDAD DISTRITAL DE CUISPES")</f>
        <v>MUNICIPALIDAD DISTRITAL DE CUISPES</v>
      </c>
      <c r="D12" s="25" t="str">
        <f ca="1">IFERROR(__xludf.DUMMYFUNCTION("""COMPUTED_VALUE"""),"SAN MARTÍN")</f>
        <v>SAN MARTÍN</v>
      </c>
      <c r="E12" s="25" t="str">
        <f ca="1">IFERROR(__xludf.DUMMYFUNCTION("""COMPUTED_VALUE"""),"AMAZONAS")</f>
        <v>AMAZONAS</v>
      </c>
      <c r="F12" s="25" t="str">
        <f ca="1">IFERROR(__xludf.DUMMYFUNCTION("""COMPUTED_VALUE"""),"BONGARA")</f>
        <v>BONGARA</v>
      </c>
      <c r="G12" s="25" t="str">
        <f ca="1">IFERROR(__xludf.DUMMYFUNCTION("""COMPUTED_VALUE"""),"CUISPES")</f>
        <v>CUISPES</v>
      </c>
      <c r="H12" s="25" t="str">
        <f ca="1">IFERROR(__xludf.DUMMYFUNCTION("""COMPUTED_VALUE"""),"RURAL")</f>
        <v>RURAL</v>
      </c>
      <c r="I12" s="25" t="str">
        <f ca="1">IFERROR(__xludf.DUMMYFUNCTION("""COMPUTED_VALUE"""),"Prioridad 5")</f>
        <v>Prioridad 5</v>
      </c>
      <c r="J12" s="42" t="s">
        <v>260</v>
      </c>
    </row>
    <row r="13" spans="1:10">
      <c r="A13" s="41">
        <f ca="1">IFERROR(__xludf.DUMMYFUNCTION("""COMPUTED_VALUE"""),41746)</f>
        <v>41746</v>
      </c>
      <c r="B13" s="25" t="str">
        <f ca="1">IFERROR(__xludf.DUMMYFUNCTION("""COMPUTED_VALUE"""),"MUNICIPALIDAD DISTRITAL")</f>
        <v>MUNICIPALIDAD DISTRITAL</v>
      </c>
      <c r="C13" s="25" t="str">
        <f ca="1">IFERROR(__xludf.DUMMYFUNCTION("""COMPUTED_VALUE"""),"MUNICIPALIDAD DISTRITAL DE FLORIDA")</f>
        <v>MUNICIPALIDAD DISTRITAL DE FLORIDA</v>
      </c>
      <c r="D13" s="25" t="str">
        <f ca="1">IFERROR(__xludf.DUMMYFUNCTION("""COMPUTED_VALUE"""),"SAN MARTÍN")</f>
        <v>SAN MARTÍN</v>
      </c>
      <c r="E13" s="25" t="str">
        <f ca="1">IFERROR(__xludf.DUMMYFUNCTION("""COMPUTED_VALUE"""),"AMAZONAS")</f>
        <v>AMAZONAS</v>
      </c>
      <c r="F13" s="25" t="str">
        <f ca="1">IFERROR(__xludf.DUMMYFUNCTION("""COMPUTED_VALUE"""),"BONGARA")</f>
        <v>BONGARA</v>
      </c>
      <c r="G13" s="25" t="str">
        <f ca="1">IFERROR(__xludf.DUMMYFUNCTION("""COMPUTED_VALUE"""),"FLORIDA")</f>
        <v>FLORIDA</v>
      </c>
      <c r="H13" s="25" t="str">
        <f ca="1">IFERROR(__xludf.DUMMYFUNCTION("""COMPUTED_VALUE"""),"RURAL")</f>
        <v>RURAL</v>
      </c>
      <c r="I13" s="25" t="str">
        <f ca="1">IFERROR(__xludf.DUMMYFUNCTION("""COMPUTED_VALUE"""),"Prioridad 3")</f>
        <v>Prioridad 3</v>
      </c>
      <c r="J13" s="42" t="s">
        <v>260</v>
      </c>
    </row>
    <row r="14" spans="1:10">
      <c r="A14" s="41">
        <f ca="1">IFERROR(__xludf.DUMMYFUNCTION("""COMPUTED_VALUE"""),41747)</f>
        <v>41747</v>
      </c>
      <c r="B14" s="25" t="str">
        <f ca="1">IFERROR(__xludf.DUMMYFUNCTION("""COMPUTED_VALUE"""),"MUNICIPALIDAD DISTRITAL")</f>
        <v>MUNICIPALIDAD DISTRITAL</v>
      </c>
      <c r="C14" s="25" t="str">
        <f ca="1">IFERROR(__xludf.DUMMYFUNCTION("""COMPUTED_VALUE"""),"MUNICIPALIDAD DISTRITAL DE JAZAN")</f>
        <v>MUNICIPALIDAD DISTRITAL DE JAZAN</v>
      </c>
      <c r="D14" s="25" t="str">
        <f ca="1">IFERROR(__xludf.DUMMYFUNCTION("""COMPUTED_VALUE"""),"SAN MARTÍN")</f>
        <v>SAN MARTÍN</v>
      </c>
      <c r="E14" s="25" t="str">
        <f ca="1">IFERROR(__xludf.DUMMYFUNCTION("""COMPUTED_VALUE"""),"AMAZONAS")</f>
        <v>AMAZONAS</v>
      </c>
      <c r="F14" s="25" t="str">
        <f ca="1">IFERROR(__xludf.DUMMYFUNCTION("""COMPUTED_VALUE"""),"BONGARA")</f>
        <v>BONGARA</v>
      </c>
      <c r="G14" s="25" t="str">
        <f ca="1">IFERROR(__xludf.DUMMYFUNCTION("""COMPUTED_VALUE"""),"JAZAN")</f>
        <v>JAZAN</v>
      </c>
      <c r="H14" s="25" t="str">
        <f ca="1">IFERROR(__xludf.DUMMYFUNCTION("""COMPUTED_VALUE"""),"URBANO")</f>
        <v>URBANO</v>
      </c>
      <c r="I14" s="25" t="str">
        <f ca="1">IFERROR(__xludf.DUMMYFUNCTION("""COMPUTED_VALUE"""),"Prioridad 1")</f>
        <v>Prioridad 1</v>
      </c>
      <c r="J14" s="42" t="s">
        <v>260</v>
      </c>
    </row>
    <row r="15" spans="1:10">
      <c r="A15" s="41">
        <f ca="1">IFERROR(__xludf.DUMMYFUNCTION("""COMPUTED_VALUE"""),41760)</f>
        <v>41760</v>
      </c>
      <c r="B15" s="25" t="str">
        <f ca="1">IFERROR(__xludf.DUMMYFUNCTION("""COMPUTED_VALUE"""),"MUNICIPALIDAD DISTRITAL")</f>
        <v>MUNICIPALIDAD DISTRITAL</v>
      </c>
      <c r="C15" s="25" t="str">
        <f ca="1">IFERROR(__xludf.DUMMYFUNCTION("""COMPUTED_VALUE"""),"MUNICIPALIDAD DISTRITAL DE RECTA")</f>
        <v>MUNICIPALIDAD DISTRITAL DE RECTA</v>
      </c>
      <c r="D15" s="25" t="str">
        <f ca="1">IFERROR(__xludf.DUMMYFUNCTION("""COMPUTED_VALUE"""),"SAN MARTÍN")</f>
        <v>SAN MARTÍN</v>
      </c>
      <c r="E15" s="25" t="str">
        <f ca="1">IFERROR(__xludf.DUMMYFUNCTION("""COMPUTED_VALUE"""),"AMAZONAS")</f>
        <v>AMAZONAS</v>
      </c>
      <c r="F15" s="25" t="str">
        <f ca="1">IFERROR(__xludf.DUMMYFUNCTION("""COMPUTED_VALUE"""),"BONGARA")</f>
        <v>BONGARA</v>
      </c>
      <c r="G15" s="25" t="str">
        <f ca="1">IFERROR(__xludf.DUMMYFUNCTION("""COMPUTED_VALUE"""),"RECTA")</f>
        <v>RECTA</v>
      </c>
      <c r="H15" s="25" t="str">
        <f ca="1">IFERROR(__xludf.DUMMYFUNCTION("""COMPUTED_VALUE"""),"RURAL")</f>
        <v>RURAL</v>
      </c>
      <c r="I15" s="25" t="str">
        <f ca="1">IFERROR(__xludf.DUMMYFUNCTION("""COMPUTED_VALUE"""),"Prioridad 5")</f>
        <v>Prioridad 5</v>
      </c>
      <c r="J15" s="42" t="s">
        <v>260</v>
      </c>
    </row>
    <row r="16" spans="1:10">
      <c r="A16" s="41">
        <f ca="1">IFERROR(__xludf.DUMMYFUNCTION("""COMPUTED_VALUE"""),41819)</f>
        <v>41819</v>
      </c>
      <c r="B16" s="25" t="str">
        <f ca="1">IFERROR(__xludf.DUMMYFUNCTION("""COMPUTED_VALUE"""),"MUNICIPALIDAD DISTRITAL")</f>
        <v>MUNICIPALIDAD DISTRITAL</v>
      </c>
      <c r="C16" s="25" t="str">
        <f ca="1">IFERROR(__xludf.DUMMYFUNCTION("""COMPUTED_VALUE"""),"MUNICIPALIDAD DISTRITAL DE SAN CARLOS")</f>
        <v>MUNICIPALIDAD DISTRITAL DE SAN CARLOS</v>
      </c>
      <c r="D16" s="25" t="str">
        <f ca="1">IFERROR(__xludf.DUMMYFUNCTION("""COMPUTED_VALUE"""),"SAN MARTÍN")</f>
        <v>SAN MARTÍN</v>
      </c>
      <c r="E16" s="25" t="str">
        <f ca="1">IFERROR(__xludf.DUMMYFUNCTION("""COMPUTED_VALUE"""),"AMAZONAS")</f>
        <v>AMAZONAS</v>
      </c>
      <c r="F16" s="25" t="str">
        <f ca="1">IFERROR(__xludf.DUMMYFUNCTION("""COMPUTED_VALUE"""),"BONGARA")</f>
        <v>BONGARA</v>
      </c>
      <c r="G16" s="25" t="str">
        <f ca="1">IFERROR(__xludf.DUMMYFUNCTION("""COMPUTED_VALUE"""),"SAN CARLOS")</f>
        <v>SAN CARLOS</v>
      </c>
      <c r="H16" s="25" t="str">
        <f ca="1">IFERROR(__xludf.DUMMYFUNCTION("""COMPUTED_VALUE"""),"RURAL")</f>
        <v>RURAL</v>
      </c>
      <c r="I16" s="25" t="str">
        <f ca="1">IFERROR(__xludf.DUMMYFUNCTION("""COMPUTED_VALUE"""),"Prioridad 2")</f>
        <v>Prioridad 2</v>
      </c>
      <c r="J16" s="42" t="s">
        <v>260</v>
      </c>
    </row>
    <row r="17" spans="1:10">
      <c r="A17" s="41">
        <f ca="1">IFERROR(__xludf.DUMMYFUNCTION("""COMPUTED_VALUE"""),41848)</f>
        <v>41848</v>
      </c>
      <c r="B17" s="25" t="str">
        <f ca="1">IFERROR(__xludf.DUMMYFUNCTION("""COMPUTED_VALUE"""),"MUNICIPALIDAD DISTRITAL")</f>
        <v>MUNICIPALIDAD DISTRITAL</v>
      </c>
      <c r="C17" s="25" t="str">
        <f ca="1">IFERROR(__xludf.DUMMYFUNCTION("""COMPUTED_VALUE"""),"MUNICIPALIDAD DISTRITAL DE SHIPASBAMBA")</f>
        <v>MUNICIPALIDAD DISTRITAL DE SHIPASBAMBA</v>
      </c>
      <c r="D17" s="25" t="str">
        <f ca="1">IFERROR(__xludf.DUMMYFUNCTION("""COMPUTED_VALUE"""),"SAN MARTÍN")</f>
        <v>SAN MARTÍN</v>
      </c>
      <c r="E17" s="25" t="str">
        <f ca="1">IFERROR(__xludf.DUMMYFUNCTION("""COMPUTED_VALUE"""),"AMAZONAS")</f>
        <v>AMAZONAS</v>
      </c>
      <c r="F17" s="25" t="str">
        <f ca="1">IFERROR(__xludf.DUMMYFUNCTION("""COMPUTED_VALUE"""),"BONGARA")</f>
        <v>BONGARA</v>
      </c>
      <c r="G17" s="25" t="str">
        <f ca="1">IFERROR(__xludf.DUMMYFUNCTION("""COMPUTED_VALUE"""),"SHIPASBAMBA")</f>
        <v>SHIPASBAMBA</v>
      </c>
      <c r="H17" s="25" t="str">
        <f ca="1">IFERROR(__xludf.DUMMYFUNCTION("""COMPUTED_VALUE"""),"RURAL")</f>
        <v>RURAL</v>
      </c>
      <c r="I17" s="25" t="str">
        <f ca="1">IFERROR(__xludf.DUMMYFUNCTION("""COMPUTED_VALUE"""),"Prioridad 3")</f>
        <v>Prioridad 3</v>
      </c>
      <c r="J17" s="42" t="s">
        <v>260</v>
      </c>
    </row>
    <row r="18" spans="1:10">
      <c r="A18" s="41">
        <f ca="1">IFERROR(__xludf.DUMMYFUNCTION("""COMPUTED_VALUE"""),41849)</f>
        <v>41849</v>
      </c>
      <c r="B18" s="25" t="str">
        <f ca="1">IFERROR(__xludf.DUMMYFUNCTION("""COMPUTED_VALUE"""),"MUNICIPALIDAD DISTRITAL")</f>
        <v>MUNICIPALIDAD DISTRITAL</v>
      </c>
      <c r="C18" s="25" t="str">
        <f ca="1">IFERROR(__xludf.DUMMYFUNCTION("""COMPUTED_VALUE"""),"MUNICIPALIDAD DISTRITAL DE VALERA")</f>
        <v>MUNICIPALIDAD DISTRITAL DE VALERA</v>
      </c>
      <c r="D18" s="25" t="str">
        <f ca="1">IFERROR(__xludf.DUMMYFUNCTION("""COMPUTED_VALUE"""),"SAN MARTÍN")</f>
        <v>SAN MARTÍN</v>
      </c>
      <c r="E18" s="25" t="str">
        <f ca="1">IFERROR(__xludf.DUMMYFUNCTION("""COMPUTED_VALUE"""),"AMAZONAS")</f>
        <v>AMAZONAS</v>
      </c>
      <c r="F18" s="25" t="str">
        <f ca="1">IFERROR(__xludf.DUMMYFUNCTION("""COMPUTED_VALUE"""),"BONGARA")</f>
        <v>BONGARA</v>
      </c>
      <c r="G18" s="25" t="str">
        <f ca="1">IFERROR(__xludf.DUMMYFUNCTION("""COMPUTED_VALUE"""),"VALERA")</f>
        <v>VALERA</v>
      </c>
      <c r="H18" s="25" t="str">
        <f ca="1">IFERROR(__xludf.DUMMYFUNCTION("""COMPUTED_VALUE"""),"RURAL")</f>
        <v>RURAL</v>
      </c>
      <c r="I18" s="25" t="str">
        <f ca="1">IFERROR(__xludf.DUMMYFUNCTION("""COMPUTED_VALUE"""),"Prioridad 5")</f>
        <v>Prioridad 5</v>
      </c>
      <c r="J18" s="42" t="s">
        <v>260</v>
      </c>
    </row>
    <row r="19" spans="1:10">
      <c r="A19" s="41">
        <f ca="1">IFERROR(__xludf.DUMMYFUNCTION("""COMPUTED_VALUE"""),41881)</f>
        <v>41881</v>
      </c>
      <c r="B19" s="25" t="str">
        <f ca="1">IFERROR(__xludf.DUMMYFUNCTION("""COMPUTED_VALUE"""),"MUNICIPALIDAD DISTRITAL")</f>
        <v>MUNICIPALIDAD DISTRITAL</v>
      </c>
      <c r="C19" s="25" t="str">
        <f ca="1">IFERROR(__xludf.DUMMYFUNCTION("""COMPUTED_VALUE"""),"MUNICIPALIDAD DISTRITAL DE YAMBRASBAMBA")</f>
        <v>MUNICIPALIDAD DISTRITAL DE YAMBRASBAMBA</v>
      </c>
      <c r="D19" s="25" t="str">
        <f ca="1">IFERROR(__xludf.DUMMYFUNCTION("""COMPUTED_VALUE"""),"SAN MARTÍN")</f>
        <v>SAN MARTÍN</v>
      </c>
      <c r="E19" s="25" t="str">
        <f ca="1">IFERROR(__xludf.DUMMYFUNCTION("""COMPUTED_VALUE"""),"AMAZONAS")</f>
        <v>AMAZONAS</v>
      </c>
      <c r="F19" s="25" t="str">
        <f ca="1">IFERROR(__xludf.DUMMYFUNCTION("""COMPUTED_VALUE"""),"BONGARA")</f>
        <v>BONGARA</v>
      </c>
      <c r="G19" s="25" t="str">
        <f ca="1">IFERROR(__xludf.DUMMYFUNCTION("""COMPUTED_VALUE"""),"YAMBRASBAMBA")</f>
        <v>YAMBRASBAMBA</v>
      </c>
      <c r="H19" s="25" t="str">
        <f ca="1">IFERROR(__xludf.DUMMYFUNCTION("""COMPUTED_VALUE"""),"RURAL")</f>
        <v>RURAL</v>
      </c>
      <c r="I19" s="25" t="str">
        <f ca="1">IFERROR(__xludf.DUMMYFUNCTION("""COMPUTED_VALUE"""),"Prioridad 3")</f>
        <v>Prioridad 3</v>
      </c>
      <c r="J19" s="42" t="s">
        <v>260</v>
      </c>
    </row>
    <row r="20" spans="1:10">
      <c r="A20" s="41">
        <f ca="1">IFERROR(__xludf.DUMMYFUNCTION("""COMPUTED_VALUE"""),41920)</f>
        <v>41920</v>
      </c>
      <c r="B20" s="25" t="str">
        <f ca="1">IFERROR(__xludf.DUMMYFUNCTION("""COMPUTED_VALUE"""),"MUNICIPALIDAD PROVINCIAL")</f>
        <v>MUNICIPALIDAD PROVINCIAL</v>
      </c>
      <c r="C20" s="25" t="str">
        <f ca="1">IFERROR(__xludf.DUMMYFUNCTION("""COMPUTED_VALUE"""),"MUNICIPALIDAD PROVINCIAL DE CHACHAPOYAS")</f>
        <v>MUNICIPALIDAD PROVINCIAL DE CHACHAPOYAS</v>
      </c>
      <c r="D20" s="25" t="str">
        <f ca="1">IFERROR(__xludf.DUMMYFUNCTION("""COMPUTED_VALUE"""),"LAMBAYEQUE")</f>
        <v>LAMBAYEQUE</v>
      </c>
      <c r="E20" s="25" t="str">
        <f ca="1">IFERROR(__xludf.DUMMYFUNCTION("""COMPUTED_VALUE"""),"AMAZONAS")</f>
        <v>AMAZONAS</v>
      </c>
      <c r="F20" s="25" t="str">
        <f ca="1">IFERROR(__xludf.DUMMYFUNCTION("""COMPUTED_VALUE"""),"CHACHAPOYAS")</f>
        <v>CHACHAPOYAS</v>
      </c>
      <c r="G20" s="25" t="str">
        <f ca="1">IFERROR(__xludf.DUMMYFUNCTION("""COMPUTED_VALUE"""),"CHACHAPOYAS")</f>
        <v>CHACHAPOYAS</v>
      </c>
      <c r="H20" s="25" t="str">
        <f ca="1">IFERROR(__xludf.DUMMYFUNCTION("""COMPUTED_VALUE"""),"URBANO")</f>
        <v>URBANO</v>
      </c>
      <c r="I20" s="25" t="str">
        <f ca="1">IFERROR(__xludf.DUMMYFUNCTION("""COMPUTED_VALUE"""),"Prioridad 1")</f>
        <v>Prioridad 1</v>
      </c>
      <c r="J20" s="42" t="s">
        <v>260</v>
      </c>
    </row>
    <row r="21" spans="1:10">
      <c r="A21" s="41">
        <f ca="1">IFERROR(__xludf.DUMMYFUNCTION("""COMPUTED_VALUE"""),41944)</f>
        <v>41944</v>
      </c>
      <c r="B21" s="25" t="str">
        <f ca="1">IFERROR(__xludf.DUMMYFUNCTION("""COMPUTED_VALUE"""),"MUNICIPALIDAD DISTRITAL")</f>
        <v>MUNICIPALIDAD DISTRITAL</v>
      </c>
      <c r="C21" s="25" t="str">
        <f ca="1">IFERROR(__xludf.DUMMYFUNCTION("""COMPUTED_VALUE"""),"MUNICIPALIDAD DISTRITAL DE HUANCAS")</f>
        <v>MUNICIPALIDAD DISTRITAL DE HUANCAS</v>
      </c>
      <c r="D21" s="25" t="str">
        <f ca="1">IFERROR(__xludf.DUMMYFUNCTION("""COMPUTED_VALUE"""),"LAMBAYEQUE")</f>
        <v>LAMBAYEQUE</v>
      </c>
      <c r="E21" s="25" t="str">
        <f ca="1">IFERROR(__xludf.DUMMYFUNCTION("""COMPUTED_VALUE"""),"AMAZONAS")</f>
        <v>AMAZONAS</v>
      </c>
      <c r="F21" s="25" t="str">
        <f ca="1">IFERROR(__xludf.DUMMYFUNCTION("""COMPUTED_VALUE"""),"CHACHAPOYAS")</f>
        <v>CHACHAPOYAS</v>
      </c>
      <c r="G21" s="25" t="str">
        <f ca="1">IFERROR(__xludf.DUMMYFUNCTION("""COMPUTED_VALUE"""),"HUANCAS")</f>
        <v>HUANCAS</v>
      </c>
      <c r="H21" s="25" t="str">
        <f ca="1">IFERROR(__xludf.DUMMYFUNCTION("""COMPUTED_VALUE"""),"RURAL")</f>
        <v>RURAL</v>
      </c>
      <c r="I21" s="25" t="str">
        <f ca="1">IFERROR(__xludf.DUMMYFUNCTION("""COMPUTED_VALUE"""),"Prioridad 4")</f>
        <v>Prioridad 4</v>
      </c>
      <c r="J21" s="42" t="s">
        <v>260</v>
      </c>
    </row>
    <row r="22" spans="1:10">
      <c r="A22" s="41">
        <f ca="1">IFERROR(__xludf.DUMMYFUNCTION("""COMPUTED_VALUE"""),41981)</f>
        <v>41981</v>
      </c>
      <c r="B22" s="25" t="str">
        <f ca="1">IFERROR(__xludf.DUMMYFUNCTION("""COMPUTED_VALUE"""),"MUNICIPALIDAD DISTRITAL")</f>
        <v>MUNICIPALIDAD DISTRITAL</v>
      </c>
      <c r="C22" s="25" t="str">
        <f ca="1">IFERROR(__xludf.DUMMYFUNCTION("""COMPUTED_VALUE"""),"MUNICIPALIDAD DISTRITAL DE LEIMEBAMBA")</f>
        <v>MUNICIPALIDAD DISTRITAL DE LEIMEBAMBA</v>
      </c>
      <c r="D22" s="25" t="str">
        <f ca="1">IFERROR(__xludf.DUMMYFUNCTION("""COMPUTED_VALUE"""),"LAMBAYEQUE")</f>
        <v>LAMBAYEQUE</v>
      </c>
      <c r="E22" s="25" t="str">
        <f ca="1">IFERROR(__xludf.DUMMYFUNCTION("""COMPUTED_VALUE"""),"AMAZONAS")</f>
        <v>AMAZONAS</v>
      </c>
      <c r="F22" s="25" t="str">
        <f ca="1">IFERROR(__xludf.DUMMYFUNCTION("""COMPUTED_VALUE"""),"CHACHAPOYAS")</f>
        <v>CHACHAPOYAS</v>
      </c>
      <c r="G22" s="25" t="str">
        <f ca="1">IFERROR(__xludf.DUMMYFUNCTION("""COMPUTED_VALUE"""),"LEIMEBAMBA")</f>
        <v>LEIMEBAMBA</v>
      </c>
      <c r="H22" s="25" t="str">
        <f ca="1">IFERROR(__xludf.DUMMYFUNCTION("""COMPUTED_VALUE"""),"URBANO")</f>
        <v>URBANO</v>
      </c>
      <c r="I22" s="25" t="str">
        <f ca="1">IFERROR(__xludf.DUMMYFUNCTION("""COMPUTED_VALUE"""),"Prioridad 2")</f>
        <v>Prioridad 2</v>
      </c>
      <c r="J22" s="42" t="s">
        <v>260</v>
      </c>
    </row>
    <row r="23" spans="1:10">
      <c r="A23" s="41">
        <f ca="1">IFERROR(__xludf.DUMMYFUNCTION("""COMPUTED_VALUE"""),41998)</f>
        <v>41998</v>
      </c>
      <c r="B23" s="25" t="str">
        <f ca="1">IFERROR(__xludf.DUMMYFUNCTION("""COMPUTED_VALUE"""),"MUNICIPALIDAD DISTRITAL")</f>
        <v>MUNICIPALIDAD DISTRITAL</v>
      </c>
      <c r="C23" s="25" t="str">
        <f ca="1">IFERROR(__xludf.DUMMYFUNCTION("""COMPUTED_VALUE"""),"MUNICIPALIDAD DISTRITAL DE MAGDALENA EN CHACHAPOYAS")</f>
        <v>MUNICIPALIDAD DISTRITAL DE MAGDALENA EN CHACHAPOYAS</v>
      </c>
      <c r="D23" s="25" t="str">
        <f ca="1">IFERROR(__xludf.DUMMYFUNCTION("""COMPUTED_VALUE"""),"LAMBAYEQUE")</f>
        <v>LAMBAYEQUE</v>
      </c>
      <c r="E23" s="25" t="str">
        <f ca="1">IFERROR(__xludf.DUMMYFUNCTION("""COMPUTED_VALUE"""),"AMAZONAS")</f>
        <v>AMAZONAS</v>
      </c>
      <c r="F23" s="25" t="str">
        <f ca="1">IFERROR(__xludf.DUMMYFUNCTION("""COMPUTED_VALUE"""),"CHACHAPOYAS")</f>
        <v>CHACHAPOYAS</v>
      </c>
      <c r="G23" s="25" t="str">
        <f ca="1">IFERROR(__xludf.DUMMYFUNCTION("""COMPUTED_VALUE"""),"MAGDALENA")</f>
        <v>MAGDALENA</v>
      </c>
      <c r="H23" s="25" t="str">
        <f ca="1">IFERROR(__xludf.DUMMYFUNCTION("""COMPUTED_VALUE"""),"RURAL")</f>
        <v>RURAL</v>
      </c>
      <c r="I23" s="25" t="str">
        <f ca="1">IFERROR(__xludf.DUMMYFUNCTION("""COMPUTED_VALUE"""),"Prioridad 2")</f>
        <v>Prioridad 2</v>
      </c>
      <c r="J23" s="42" t="s">
        <v>260</v>
      </c>
    </row>
    <row r="24" spans="1:10">
      <c r="A24" s="41">
        <f ca="1">IFERROR(__xludf.DUMMYFUNCTION("""COMPUTED_VALUE"""),42005)</f>
        <v>42005</v>
      </c>
      <c r="B24" s="25" t="str">
        <f ca="1">IFERROR(__xludf.DUMMYFUNCTION("""COMPUTED_VALUE"""),"MUNICIPALIDAD DISTRITAL")</f>
        <v>MUNICIPALIDAD DISTRITAL</v>
      </c>
      <c r="C24" s="25" t="str">
        <f ca="1">IFERROR(__xludf.DUMMYFUNCTION("""COMPUTED_VALUE"""),"MUNICIPALIDAD DISTRITAL DE MARISCAL CASTILLA EN CHACHAPOYAS")</f>
        <v>MUNICIPALIDAD DISTRITAL DE MARISCAL CASTILLA EN CHACHAPOYAS</v>
      </c>
      <c r="D24" s="25" t="str">
        <f ca="1">IFERROR(__xludf.DUMMYFUNCTION("""COMPUTED_VALUE"""),"LAMBAYEQUE")</f>
        <v>LAMBAYEQUE</v>
      </c>
      <c r="E24" s="25" t="str">
        <f ca="1">IFERROR(__xludf.DUMMYFUNCTION("""COMPUTED_VALUE"""),"AMAZONAS")</f>
        <v>AMAZONAS</v>
      </c>
      <c r="F24" s="25" t="str">
        <f ca="1">IFERROR(__xludf.DUMMYFUNCTION("""COMPUTED_VALUE"""),"CHACHAPOYAS")</f>
        <v>CHACHAPOYAS</v>
      </c>
      <c r="G24" s="25" t="str">
        <f ca="1">IFERROR(__xludf.DUMMYFUNCTION("""COMPUTED_VALUE"""),"MARISCAL CASTILLA")</f>
        <v>MARISCAL CASTILLA</v>
      </c>
      <c r="H24" s="25" t="str">
        <f ca="1">IFERROR(__xludf.DUMMYFUNCTION("""COMPUTED_VALUE"""),"RURAL")</f>
        <v>RURAL</v>
      </c>
      <c r="I24" s="25" t="str">
        <f ca="1">IFERROR(__xludf.DUMMYFUNCTION("""COMPUTED_VALUE"""),"Prioridad 2")</f>
        <v>Prioridad 2</v>
      </c>
      <c r="J24" s="42" t="s">
        <v>260</v>
      </c>
    </row>
    <row r="25" spans="1:10">
      <c r="A25" s="41">
        <f ca="1">IFERROR(__xludf.DUMMYFUNCTION("""COMPUTED_VALUE"""),42006)</f>
        <v>42006</v>
      </c>
      <c r="B25" s="25" t="str">
        <f ca="1">IFERROR(__xludf.DUMMYFUNCTION("""COMPUTED_VALUE"""),"MUNICIPALIDAD DISTRITAL")</f>
        <v>MUNICIPALIDAD DISTRITAL</v>
      </c>
      <c r="C25" s="25" t="str">
        <f ca="1">IFERROR(__xludf.DUMMYFUNCTION("""COMPUTED_VALUE"""),"MUNICIPALIDAD DISTRITAL DE MONTEVIDEO")</f>
        <v>MUNICIPALIDAD DISTRITAL DE MONTEVIDEO</v>
      </c>
      <c r="D25" s="25" t="str">
        <f ca="1">IFERROR(__xludf.DUMMYFUNCTION("""COMPUTED_VALUE"""),"LAMBAYEQUE")</f>
        <v>LAMBAYEQUE</v>
      </c>
      <c r="E25" s="25" t="str">
        <f ca="1">IFERROR(__xludf.DUMMYFUNCTION("""COMPUTED_VALUE"""),"AMAZONAS")</f>
        <v>AMAZONAS</v>
      </c>
      <c r="F25" s="25" t="str">
        <f ca="1">IFERROR(__xludf.DUMMYFUNCTION("""COMPUTED_VALUE"""),"CHACHAPOYAS")</f>
        <v>CHACHAPOYAS</v>
      </c>
      <c r="G25" s="25" t="str">
        <f ca="1">IFERROR(__xludf.DUMMYFUNCTION("""COMPUTED_VALUE"""),"MONTEVIDEO")</f>
        <v>MONTEVIDEO</v>
      </c>
      <c r="H25" s="25" t="str">
        <f ca="1">IFERROR(__xludf.DUMMYFUNCTION("""COMPUTED_VALUE"""),"RURAL")</f>
        <v>RURAL</v>
      </c>
      <c r="I25" s="25" t="str">
        <f ca="1">IFERROR(__xludf.DUMMYFUNCTION("""COMPUTED_VALUE"""),"Prioridad 2")</f>
        <v>Prioridad 2</v>
      </c>
      <c r="J25" s="42" t="s">
        <v>260</v>
      </c>
    </row>
    <row r="26" spans="1:10">
      <c r="A26" s="41">
        <f ca="1">IFERROR(__xludf.DUMMYFUNCTION("""COMPUTED_VALUE"""),42096)</f>
        <v>42096</v>
      </c>
      <c r="B26" s="25" t="str">
        <f ca="1">IFERROR(__xludf.DUMMYFUNCTION("""COMPUTED_VALUE"""),"MUNICIPALIDAD DISTRITAL")</f>
        <v>MUNICIPALIDAD DISTRITAL</v>
      </c>
      <c r="C26" s="25" t="str">
        <f ca="1">IFERROR(__xludf.DUMMYFUNCTION("""COMPUTED_VALUE"""),"MUNICIPALIDAD DISTRITAL DE SAN FRANCISCO DE DAGUAS")</f>
        <v>MUNICIPALIDAD DISTRITAL DE SAN FRANCISCO DE DAGUAS</v>
      </c>
      <c r="D26" s="25" t="str">
        <f ca="1">IFERROR(__xludf.DUMMYFUNCTION("""COMPUTED_VALUE"""),"LAMBAYEQUE")</f>
        <v>LAMBAYEQUE</v>
      </c>
      <c r="E26" s="25" t="str">
        <f ca="1">IFERROR(__xludf.DUMMYFUNCTION("""COMPUTED_VALUE"""),"AMAZONAS")</f>
        <v>AMAZONAS</v>
      </c>
      <c r="F26" s="25" t="str">
        <f ca="1">IFERROR(__xludf.DUMMYFUNCTION("""COMPUTED_VALUE"""),"CHACHAPOYAS")</f>
        <v>CHACHAPOYAS</v>
      </c>
      <c r="G26" s="25" t="str">
        <f ca="1">IFERROR(__xludf.DUMMYFUNCTION("""COMPUTED_VALUE"""),"SAN FRANCISCO DE DAGUAS")</f>
        <v>SAN FRANCISCO DE DAGUAS</v>
      </c>
      <c r="H26" s="25" t="str">
        <f ca="1">IFERROR(__xludf.DUMMYFUNCTION("""COMPUTED_VALUE"""),"RURAL")</f>
        <v>RURAL</v>
      </c>
      <c r="I26" s="25" t="str">
        <f ca="1">IFERROR(__xludf.DUMMYFUNCTION("""COMPUTED_VALUE"""),"Prioridad 2")</f>
        <v>Prioridad 2</v>
      </c>
      <c r="J26" s="42" t="s">
        <v>260</v>
      </c>
    </row>
    <row r="27" spans="1:10">
      <c r="A27" s="41">
        <f ca="1">IFERROR(__xludf.DUMMYFUNCTION("""COMPUTED_VALUE"""),42097)</f>
        <v>42097</v>
      </c>
      <c r="B27" s="25" t="str">
        <f ca="1">IFERROR(__xludf.DUMMYFUNCTION("""COMPUTED_VALUE"""),"MUNICIPALIDAD DISTRITAL")</f>
        <v>MUNICIPALIDAD DISTRITAL</v>
      </c>
      <c r="C27" s="25" t="str">
        <f ca="1">IFERROR(__xludf.DUMMYFUNCTION("""COMPUTED_VALUE"""),"MUNICIPALIDAD DISTRITAL DE SAN ISIDRO DE MAINO")</f>
        <v>MUNICIPALIDAD DISTRITAL DE SAN ISIDRO DE MAINO</v>
      </c>
      <c r="D27" s="25" t="str">
        <f ca="1">IFERROR(__xludf.DUMMYFUNCTION("""COMPUTED_VALUE"""),"LAMBAYEQUE")</f>
        <v>LAMBAYEQUE</v>
      </c>
      <c r="E27" s="25" t="str">
        <f ca="1">IFERROR(__xludf.DUMMYFUNCTION("""COMPUTED_VALUE"""),"AMAZONAS")</f>
        <v>AMAZONAS</v>
      </c>
      <c r="F27" s="25" t="str">
        <f ca="1">IFERROR(__xludf.DUMMYFUNCTION("""COMPUTED_VALUE"""),"CHACHAPOYAS")</f>
        <v>CHACHAPOYAS</v>
      </c>
      <c r="G27" s="25" t="str">
        <f ca="1">IFERROR(__xludf.DUMMYFUNCTION("""COMPUTED_VALUE"""),"SAN ISIDRO DE MAINO")</f>
        <v>SAN ISIDRO DE MAINO</v>
      </c>
      <c r="H27" s="25" t="str">
        <f ca="1">IFERROR(__xludf.DUMMYFUNCTION("""COMPUTED_VALUE"""),"RURAL")</f>
        <v>RURAL</v>
      </c>
      <c r="I27" s="25" t="str">
        <f ca="1">IFERROR(__xludf.DUMMYFUNCTION("""COMPUTED_VALUE"""),"Prioridad 2")</f>
        <v>Prioridad 2</v>
      </c>
      <c r="J27" s="42" t="s">
        <v>260</v>
      </c>
    </row>
    <row r="28" spans="1:10">
      <c r="A28" s="41">
        <f ca="1">IFERROR(__xludf.DUMMYFUNCTION("""COMPUTED_VALUE"""),42125)</f>
        <v>42125</v>
      </c>
      <c r="B28" s="25" t="str">
        <f ca="1">IFERROR(__xludf.DUMMYFUNCTION("""COMPUTED_VALUE"""),"MUNICIPALIDAD DISTRITAL")</f>
        <v>MUNICIPALIDAD DISTRITAL</v>
      </c>
      <c r="C28" s="25" t="str">
        <f ca="1">IFERROR(__xludf.DUMMYFUNCTION("""COMPUTED_VALUE"""),"MUNICIPALIDAD DISTRITAL DE ASUNCION EN CHACHAPOYAS")</f>
        <v>MUNICIPALIDAD DISTRITAL DE ASUNCION EN CHACHAPOYAS</v>
      </c>
      <c r="D28" s="25" t="str">
        <f ca="1">IFERROR(__xludf.DUMMYFUNCTION("""COMPUTED_VALUE"""),"LAMBAYEQUE")</f>
        <v>LAMBAYEQUE</v>
      </c>
      <c r="E28" s="25" t="str">
        <f ca="1">IFERROR(__xludf.DUMMYFUNCTION("""COMPUTED_VALUE"""),"AMAZONAS")</f>
        <v>AMAZONAS</v>
      </c>
      <c r="F28" s="25" t="str">
        <f ca="1">IFERROR(__xludf.DUMMYFUNCTION("""COMPUTED_VALUE"""),"CHACHAPOYAS")</f>
        <v>CHACHAPOYAS</v>
      </c>
      <c r="G28" s="25" t="str">
        <f ca="1">IFERROR(__xludf.DUMMYFUNCTION("""COMPUTED_VALUE"""),"ASUNCION")</f>
        <v>ASUNCION</v>
      </c>
      <c r="H28" s="25" t="str">
        <f ca="1">IFERROR(__xludf.DUMMYFUNCTION("""COMPUTED_VALUE"""),"RURAL")</f>
        <v>RURAL</v>
      </c>
      <c r="I28" s="25" t="str">
        <f ca="1">IFERROR(__xludf.DUMMYFUNCTION("""COMPUTED_VALUE"""),"Prioridad 4")</f>
        <v>Prioridad 4</v>
      </c>
      <c r="J28" s="42" t="s">
        <v>260</v>
      </c>
    </row>
    <row r="29" spans="1:10">
      <c r="A29" s="41">
        <f ca="1">IFERROR(__xludf.DUMMYFUNCTION("""COMPUTED_VALUE"""),42184)</f>
        <v>42184</v>
      </c>
      <c r="B29" s="25" t="str">
        <f ca="1">IFERROR(__xludf.DUMMYFUNCTION("""COMPUTED_VALUE"""),"MUNICIPALIDAD DISTRITAL")</f>
        <v>MUNICIPALIDAD DISTRITAL</v>
      </c>
      <c r="C29" s="25" t="str">
        <f ca="1">IFERROR(__xludf.DUMMYFUNCTION("""COMPUTED_VALUE"""),"MUNICIPALIDAD DISTRITAL DE CHETO")</f>
        <v>MUNICIPALIDAD DISTRITAL DE CHETO</v>
      </c>
      <c r="D29" s="25" t="str">
        <f ca="1">IFERROR(__xludf.DUMMYFUNCTION("""COMPUTED_VALUE"""),"LAMBAYEQUE")</f>
        <v>LAMBAYEQUE</v>
      </c>
      <c r="E29" s="25" t="str">
        <f ca="1">IFERROR(__xludf.DUMMYFUNCTION("""COMPUTED_VALUE"""),"AMAZONAS")</f>
        <v>AMAZONAS</v>
      </c>
      <c r="F29" s="25" t="str">
        <f ca="1">IFERROR(__xludf.DUMMYFUNCTION("""COMPUTED_VALUE"""),"CHACHAPOYAS")</f>
        <v>CHACHAPOYAS</v>
      </c>
      <c r="G29" s="25" t="str">
        <f ca="1">IFERROR(__xludf.DUMMYFUNCTION("""COMPUTED_VALUE"""),"CHETO")</f>
        <v>CHETO</v>
      </c>
      <c r="H29" s="25" t="str">
        <f ca="1">IFERROR(__xludf.DUMMYFUNCTION("""COMPUTED_VALUE"""),"RURAL")</f>
        <v>RURAL</v>
      </c>
      <c r="I29" s="25" t="str">
        <f ca="1">IFERROR(__xludf.DUMMYFUNCTION("""COMPUTED_VALUE"""),"Prioridad 4")</f>
        <v>Prioridad 4</v>
      </c>
      <c r="J29" s="42" t="s">
        <v>260</v>
      </c>
    </row>
    <row r="30" spans="1:10">
      <c r="A30" s="41">
        <f ca="1">IFERROR(__xludf.DUMMYFUNCTION("""COMPUTED_VALUE"""),42213)</f>
        <v>42213</v>
      </c>
      <c r="B30" s="25" t="str">
        <f ca="1">IFERROR(__xludf.DUMMYFUNCTION("""COMPUTED_VALUE"""),"MUNICIPALIDAD DISTRITAL")</f>
        <v>MUNICIPALIDAD DISTRITAL</v>
      </c>
      <c r="C30" s="25" t="str">
        <f ca="1">IFERROR(__xludf.DUMMYFUNCTION("""COMPUTED_VALUE"""),"MUNICIPALIDAD DISTRITAL DE GRANADA")</f>
        <v>MUNICIPALIDAD DISTRITAL DE GRANADA</v>
      </c>
      <c r="D30" s="25" t="str">
        <f ca="1">IFERROR(__xludf.DUMMYFUNCTION("""COMPUTED_VALUE"""),"LAMBAYEQUE")</f>
        <v>LAMBAYEQUE</v>
      </c>
      <c r="E30" s="25" t="str">
        <f ca="1">IFERROR(__xludf.DUMMYFUNCTION("""COMPUTED_VALUE"""),"AMAZONAS")</f>
        <v>AMAZONAS</v>
      </c>
      <c r="F30" s="25" t="str">
        <f ca="1">IFERROR(__xludf.DUMMYFUNCTION("""COMPUTED_VALUE"""),"CHACHAPOYAS")</f>
        <v>CHACHAPOYAS</v>
      </c>
      <c r="G30" s="25" t="str">
        <f ca="1">IFERROR(__xludf.DUMMYFUNCTION("""COMPUTED_VALUE"""),"GRANADA")</f>
        <v>GRANADA</v>
      </c>
      <c r="H30" s="25" t="str">
        <f ca="1">IFERROR(__xludf.DUMMYFUNCTION("""COMPUTED_VALUE"""),"RURAL")</f>
        <v>RURAL</v>
      </c>
      <c r="I30" s="25" t="str">
        <f ca="1">IFERROR(__xludf.DUMMYFUNCTION("""COMPUTED_VALUE"""),"Prioridad 3")</f>
        <v>Prioridad 3</v>
      </c>
      <c r="J30" s="42" t="s">
        <v>260</v>
      </c>
    </row>
    <row r="31" spans="1:10">
      <c r="A31" s="41">
        <f ca="1">IFERROR(__xludf.DUMMYFUNCTION("""COMPUTED_VALUE"""),42214)</f>
        <v>42214</v>
      </c>
      <c r="B31" s="25" t="str">
        <f ca="1">IFERROR(__xludf.DUMMYFUNCTION("""COMPUTED_VALUE"""),"MUNICIPALIDAD DISTRITAL")</f>
        <v>MUNICIPALIDAD DISTRITAL</v>
      </c>
      <c r="C31" s="25" t="str">
        <f ca="1">IFERROR(__xludf.DUMMYFUNCTION("""COMPUTED_VALUE"""),"MUNICIPALIDAD DISTRITAL DE LA JALCA")</f>
        <v>MUNICIPALIDAD DISTRITAL DE LA JALCA</v>
      </c>
      <c r="D31" s="25" t="str">
        <f ca="1">IFERROR(__xludf.DUMMYFUNCTION("""COMPUTED_VALUE"""),"LAMBAYEQUE")</f>
        <v>LAMBAYEQUE</v>
      </c>
      <c r="E31" s="25" t="str">
        <f ca="1">IFERROR(__xludf.DUMMYFUNCTION("""COMPUTED_VALUE"""),"AMAZONAS")</f>
        <v>AMAZONAS</v>
      </c>
      <c r="F31" s="25" t="str">
        <f ca="1">IFERROR(__xludf.DUMMYFUNCTION("""COMPUTED_VALUE"""),"CHACHAPOYAS")</f>
        <v>CHACHAPOYAS</v>
      </c>
      <c r="G31" s="25" t="str">
        <f ca="1">IFERROR(__xludf.DUMMYFUNCTION("""COMPUTED_VALUE"""),"LA JALCA")</f>
        <v>LA JALCA</v>
      </c>
      <c r="H31" s="25" t="str">
        <f ca="1">IFERROR(__xludf.DUMMYFUNCTION("""COMPUTED_VALUE"""),"RURAL")</f>
        <v>RURAL</v>
      </c>
      <c r="I31" s="25" t="str">
        <f ca="1">IFERROR(__xludf.DUMMYFUNCTION("""COMPUTED_VALUE"""),"Prioridad 3")</f>
        <v>Prioridad 3</v>
      </c>
      <c r="J31" s="42" t="s">
        <v>260</v>
      </c>
    </row>
    <row r="32" spans="1:10">
      <c r="A32" s="41">
        <f ca="1">IFERROR(__xludf.DUMMYFUNCTION("""COMPUTED_VALUE"""),42246)</f>
        <v>42246</v>
      </c>
      <c r="B32" s="25" t="str">
        <f ca="1">IFERROR(__xludf.DUMMYFUNCTION("""COMPUTED_VALUE"""),"MUNICIPALIDAD DISTRITAL")</f>
        <v>MUNICIPALIDAD DISTRITAL</v>
      </c>
      <c r="C32" s="25" t="str">
        <f ca="1">IFERROR(__xludf.DUMMYFUNCTION("""COMPUTED_VALUE"""),"MUNICIPALIDAD DISTRITAL DE LEVANTO")</f>
        <v>MUNICIPALIDAD DISTRITAL DE LEVANTO</v>
      </c>
      <c r="D32" s="25" t="str">
        <f ca="1">IFERROR(__xludf.DUMMYFUNCTION("""COMPUTED_VALUE"""),"LAMBAYEQUE")</f>
        <v>LAMBAYEQUE</v>
      </c>
      <c r="E32" s="25" t="str">
        <f ca="1">IFERROR(__xludf.DUMMYFUNCTION("""COMPUTED_VALUE"""),"AMAZONAS")</f>
        <v>AMAZONAS</v>
      </c>
      <c r="F32" s="25" t="str">
        <f ca="1">IFERROR(__xludf.DUMMYFUNCTION("""COMPUTED_VALUE"""),"CHACHAPOYAS")</f>
        <v>CHACHAPOYAS</v>
      </c>
      <c r="G32" s="25" t="str">
        <f ca="1">IFERROR(__xludf.DUMMYFUNCTION("""COMPUTED_VALUE"""),"LEVANTO")</f>
        <v>LEVANTO</v>
      </c>
      <c r="H32" s="25" t="str">
        <f ca="1">IFERROR(__xludf.DUMMYFUNCTION("""COMPUTED_VALUE"""),"RURAL")</f>
        <v>RURAL</v>
      </c>
      <c r="I32" s="25" t="str">
        <f ca="1">IFERROR(__xludf.DUMMYFUNCTION("""COMPUTED_VALUE"""),"Prioridad 5")</f>
        <v>Prioridad 5</v>
      </c>
      <c r="J32" s="42" t="s">
        <v>260</v>
      </c>
    </row>
    <row r="33" spans="1:10">
      <c r="A33" s="41">
        <f ca="1">IFERROR(__xludf.DUMMYFUNCTION("""COMPUTED_VALUE"""),42285)</f>
        <v>42285</v>
      </c>
      <c r="B33" s="25" t="str">
        <f ca="1">IFERROR(__xludf.DUMMYFUNCTION("""COMPUTED_VALUE"""),"MUNICIPALIDAD DISTRITAL")</f>
        <v>MUNICIPALIDAD DISTRITAL</v>
      </c>
      <c r="C33" s="25" t="str">
        <f ca="1">IFERROR(__xludf.DUMMYFUNCTION("""COMPUTED_VALUE"""),"MUNICIPALIDAD DISTRITAL DE OLLEROS EN CHACHAPOYAS")</f>
        <v>MUNICIPALIDAD DISTRITAL DE OLLEROS EN CHACHAPOYAS</v>
      </c>
      <c r="D33" s="25" t="str">
        <f ca="1">IFERROR(__xludf.DUMMYFUNCTION("""COMPUTED_VALUE"""),"LAMBAYEQUE")</f>
        <v>LAMBAYEQUE</v>
      </c>
      <c r="E33" s="25" t="str">
        <f ca="1">IFERROR(__xludf.DUMMYFUNCTION("""COMPUTED_VALUE"""),"AMAZONAS")</f>
        <v>AMAZONAS</v>
      </c>
      <c r="F33" s="25" t="str">
        <f ca="1">IFERROR(__xludf.DUMMYFUNCTION("""COMPUTED_VALUE"""),"CHACHAPOYAS")</f>
        <v>CHACHAPOYAS</v>
      </c>
      <c r="G33" s="25" t="str">
        <f ca="1">IFERROR(__xludf.DUMMYFUNCTION("""COMPUTED_VALUE"""),"OLLEROS")</f>
        <v>OLLEROS</v>
      </c>
      <c r="H33" s="25" t="str">
        <f ca="1">IFERROR(__xludf.DUMMYFUNCTION("""COMPUTED_VALUE"""),"RURAL")</f>
        <v>RURAL</v>
      </c>
      <c r="I33" s="25" t="str">
        <f ca="1">IFERROR(__xludf.DUMMYFUNCTION("""COMPUTED_VALUE"""),"Prioridad 4")</f>
        <v>Prioridad 4</v>
      </c>
      <c r="J33" s="42" t="s">
        <v>260</v>
      </c>
    </row>
    <row r="34" spans="1:10">
      <c r="A34" s="41">
        <f ca="1">IFERROR(__xludf.DUMMYFUNCTION("""COMPUTED_VALUE"""),42286)</f>
        <v>42286</v>
      </c>
      <c r="B34" s="25" t="str">
        <f ca="1">IFERROR(__xludf.DUMMYFUNCTION("""COMPUTED_VALUE"""),"MUNICIPALIDAD DISTRITAL")</f>
        <v>MUNICIPALIDAD DISTRITAL</v>
      </c>
      <c r="C34" s="25" t="str">
        <f ca="1">IFERROR(__xludf.DUMMYFUNCTION("""COMPUTED_VALUE"""),"MUNICIPALIDAD DISTRITAL DE SONCHE")</f>
        <v>MUNICIPALIDAD DISTRITAL DE SONCHE</v>
      </c>
      <c r="D34" s="25" t="str">
        <f ca="1">IFERROR(__xludf.DUMMYFUNCTION("""COMPUTED_VALUE"""),"LAMBAYEQUE")</f>
        <v>LAMBAYEQUE</v>
      </c>
      <c r="E34" s="25" t="str">
        <f ca="1">IFERROR(__xludf.DUMMYFUNCTION("""COMPUTED_VALUE"""),"AMAZONAS")</f>
        <v>AMAZONAS</v>
      </c>
      <c r="F34" s="25" t="str">
        <f ca="1">IFERROR(__xludf.DUMMYFUNCTION("""COMPUTED_VALUE"""),"CHACHAPOYAS")</f>
        <v>CHACHAPOYAS</v>
      </c>
      <c r="G34" s="25" t="str">
        <f ca="1">IFERROR(__xludf.DUMMYFUNCTION("""COMPUTED_VALUE"""),"SONCHE")</f>
        <v>SONCHE</v>
      </c>
      <c r="H34" s="25" t="str">
        <f ca="1">IFERROR(__xludf.DUMMYFUNCTION("""COMPUTED_VALUE"""),"RURAL")</f>
        <v>RURAL</v>
      </c>
      <c r="I34" s="25" t="str">
        <f ca="1">IFERROR(__xludf.DUMMYFUNCTION("""COMPUTED_VALUE"""),"Prioridad 3")</f>
        <v>Prioridad 3</v>
      </c>
      <c r="J34" s="42" t="s">
        <v>260</v>
      </c>
    </row>
    <row r="35" spans="1:10">
      <c r="A35" s="41">
        <f ca="1">IFERROR(__xludf.DUMMYFUNCTION("""COMPUTED_VALUE"""),42309)</f>
        <v>42309</v>
      </c>
      <c r="B35" s="25" t="str">
        <f ca="1">IFERROR(__xludf.DUMMYFUNCTION("""COMPUTED_VALUE"""),"MUNICIPALIDAD DISTRITAL")</f>
        <v>MUNICIPALIDAD DISTRITAL</v>
      </c>
      <c r="C35" s="25" t="str">
        <f ca="1">IFERROR(__xludf.DUMMYFUNCTION("""COMPUTED_VALUE"""),"MUNICIPALIDAD DISTRITAL DE BALSAS")</f>
        <v>MUNICIPALIDAD DISTRITAL DE BALSAS</v>
      </c>
      <c r="D35" s="25" t="str">
        <f ca="1">IFERROR(__xludf.DUMMYFUNCTION("""COMPUTED_VALUE"""),"LAMBAYEQUE")</f>
        <v>LAMBAYEQUE</v>
      </c>
      <c r="E35" s="25" t="str">
        <f ca="1">IFERROR(__xludf.DUMMYFUNCTION("""COMPUTED_VALUE"""),"AMAZONAS")</f>
        <v>AMAZONAS</v>
      </c>
      <c r="F35" s="25" t="str">
        <f ca="1">IFERROR(__xludf.DUMMYFUNCTION("""COMPUTED_VALUE"""),"CHACHAPOYAS")</f>
        <v>CHACHAPOYAS</v>
      </c>
      <c r="G35" s="25" t="str">
        <f ca="1">IFERROR(__xludf.DUMMYFUNCTION("""COMPUTED_VALUE"""),"BALSAS")</f>
        <v>BALSAS</v>
      </c>
      <c r="H35" s="25" t="str">
        <f ca="1">IFERROR(__xludf.DUMMYFUNCTION("""COMPUTED_VALUE"""),"RURAL")</f>
        <v>RURAL</v>
      </c>
      <c r="I35" s="25" t="str">
        <f ca="1">IFERROR(__xludf.DUMMYFUNCTION("""COMPUTED_VALUE"""),"Prioridad 3")</f>
        <v>Prioridad 3</v>
      </c>
      <c r="J35" s="42" t="s">
        <v>260</v>
      </c>
    </row>
    <row r="36" spans="1:10">
      <c r="A36" s="41">
        <f ca="1">IFERROR(__xludf.DUMMYFUNCTION("""COMPUTED_VALUE"""),42346)</f>
        <v>42346</v>
      </c>
      <c r="B36" s="25" t="str">
        <f ca="1">IFERROR(__xludf.DUMMYFUNCTION("""COMPUTED_VALUE"""),"MUNICIPALIDAD DISTRITAL")</f>
        <v>MUNICIPALIDAD DISTRITAL</v>
      </c>
      <c r="C36" s="25" t="str">
        <f ca="1">IFERROR(__xludf.DUMMYFUNCTION("""COMPUTED_VALUE"""),"MUNICIPALIDAD DISTRITAL DE CHILIQUIN")</f>
        <v>MUNICIPALIDAD DISTRITAL DE CHILIQUIN</v>
      </c>
      <c r="D36" s="25" t="str">
        <f ca="1">IFERROR(__xludf.DUMMYFUNCTION("""COMPUTED_VALUE"""),"LAMBAYEQUE")</f>
        <v>LAMBAYEQUE</v>
      </c>
      <c r="E36" s="25" t="str">
        <f ca="1">IFERROR(__xludf.DUMMYFUNCTION("""COMPUTED_VALUE"""),"AMAZONAS")</f>
        <v>AMAZONAS</v>
      </c>
      <c r="F36" s="25" t="str">
        <f ca="1">IFERROR(__xludf.DUMMYFUNCTION("""COMPUTED_VALUE"""),"CHACHAPOYAS")</f>
        <v>CHACHAPOYAS</v>
      </c>
      <c r="G36" s="25" t="str">
        <f ca="1">IFERROR(__xludf.DUMMYFUNCTION("""COMPUTED_VALUE"""),"CHILIQUIN")</f>
        <v>CHILIQUIN</v>
      </c>
      <c r="H36" s="25" t="str">
        <f ca="1">IFERROR(__xludf.DUMMYFUNCTION("""COMPUTED_VALUE"""),"RURAL")</f>
        <v>RURAL</v>
      </c>
      <c r="I36" s="25" t="str">
        <f ca="1">IFERROR(__xludf.DUMMYFUNCTION("""COMPUTED_VALUE"""),"Prioridad 5")</f>
        <v>Prioridad 5</v>
      </c>
      <c r="J36" s="42" t="s">
        <v>260</v>
      </c>
    </row>
    <row r="37" spans="1:10">
      <c r="A37" s="41">
        <f ca="1">IFERROR(__xludf.DUMMYFUNCTION("""COMPUTED_VALUE"""),42363)</f>
        <v>42363</v>
      </c>
      <c r="B37" s="25" t="str">
        <f ca="1">IFERROR(__xludf.DUMMYFUNCTION("""COMPUTED_VALUE"""),"MUNICIPALIDAD DISTRITAL")</f>
        <v>MUNICIPALIDAD DISTRITAL</v>
      </c>
      <c r="C37" s="25" t="str">
        <f ca="1">IFERROR(__xludf.DUMMYFUNCTION("""COMPUTED_VALUE"""),"MUNICIPALIDAD DISTRITAL DE CHUQUIBAMBA")</f>
        <v>MUNICIPALIDAD DISTRITAL DE CHUQUIBAMBA</v>
      </c>
      <c r="D37" s="25" t="str">
        <f ca="1">IFERROR(__xludf.DUMMYFUNCTION("""COMPUTED_VALUE"""),"LAMBAYEQUE")</f>
        <v>LAMBAYEQUE</v>
      </c>
      <c r="E37" s="25" t="str">
        <f ca="1">IFERROR(__xludf.DUMMYFUNCTION("""COMPUTED_VALUE"""),"AMAZONAS")</f>
        <v>AMAZONAS</v>
      </c>
      <c r="F37" s="25" t="str">
        <f ca="1">IFERROR(__xludf.DUMMYFUNCTION("""COMPUTED_VALUE"""),"CHACHAPOYAS")</f>
        <v>CHACHAPOYAS</v>
      </c>
      <c r="G37" s="25" t="str">
        <f ca="1">IFERROR(__xludf.DUMMYFUNCTION("""COMPUTED_VALUE"""),"CHUQUIBAMBA")</f>
        <v>CHUQUIBAMBA</v>
      </c>
      <c r="H37" s="25" t="str">
        <f ca="1">IFERROR(__xludf.DUMMYFUNCTION("""COMPUTED_VALUE"""),"RURAL")</f>
        <v>RURAL</v>
      </c>
      <c r="I37" s="25" t="str">
        <f ca="1">IFERROR(__xludf.DUMMYFUNCTION("""COMPUTED_VALUE"""),"Prioridad 5")</f>
        <v>Prioridad 5</v>
      </c>
      <c r="J37" s="42" t="s">
        <v>260</v>
      </c>
    </row>
    <row r="38" spans="1:10">
      <c r="A38" s="41">
        <f ca="1">IFERROR(__xludf.DUMMYFUNCTION("""COMPUTED_VALUE"""),42370)</f>
        <v>42370</v>
      </c>
      <c r="B38" s="25" t="str">
        <f ca="1">IFERROR(__xludf.DUMMYFUNCTION("""COMPUTED_VALUE"""),"MUNICIPALIDAD DISTRITAL")</f>
        <v>MUNICIPALIDAD DISTRITAL</v>
      </c>
      <c r="C38" s="25" t="str">
        <f ca="1">IFERROR(__xludf.DUMMYFUNCTION("""COMPUTED_VALUE"""),"MUNICIPALIDAD DISTRITAL DE MOLINOPAMPA")</f>
        <v>MUNICIPALIDAD DISTRITAL DE MOLINOPAMPA</v>
      </c>
      <c r="D38" s="25" t="str">
        <f ca="1">IFERROR(__xludf.DUMMYFUNCTION("""COMPUTED_VALUE"""),"LAMBAYEQUE")</f>
        <v>LAMBAYEQUE</v>
      </c>
      <c r="E38" s="25" t="str">
        <f ca="1">IFERROR(__xludf.DUMMYFUNCTION("""COMPUTED_VALUE"""),"AMAZONAS")</f>
        <v>AMAZONAS</v>
      </c>
      <c r="F38" s="25" t="str">
        <f ca="1">IFERROR(__xludf.DUMMYFUNCTION("""COMPUTED_VALUE"""),"CHACHAPOYAS")</f>
        <v>CHACHAPOYAS</v>
      </c>
      <c r="G38" s="25" t="str">
        <f ca="1">IFERROR(__xludf.DUMMYFUNCTION("""COMPUTED_VALUE"""),"MOLINOPAMPA")</f>
        <v>MOLINOPAMPA</v>
      </c>
      <c r="H38" s="25" t="str">
        <f ca="1">IFERROR(__xludf.DUMMYFUNCTION("""COMPUTED_VALUE"""),"RURAL")</f>
        <v>RURAL</v>
      </c>
      <c r="I38" s="25" t="str">
        <f ca="1">IFERROR(__xludf.DUMMYFUNCTION("""COMPUTED_VALUE"""),"Prioridad 3")</f>
        <v>Prioridad 3</v>
      </c>
      <c r="J38" s="42" t="s">
        <v>260</v>
      </c>
    </row>
    <row r="39" spans="1:10">
      <c r="A39" s="41">
        <f ca="1">IFERROR(__xludf.DUMMYFUNCTION("""COMPUTED_VALUE"""),42453)</f>
        <v>42453</v>
      </c>
      <c r="B39" s="25" t="str">
        <f ca="1">IFERROR(__xludf.DUMMYFUNCTION("""COMPUTED_VALUE"""),"MUNICIPALIDAD DISTRITAL")</f>
        <v>MUNICIPALIDAD DISTRITAL</v>
      </c>
      <c r="C39" s="25" t="str">
        <f ca="1">IFERROR(__xludf.DUMMYFUNCTION("""COMPUTED_VALUE"""),"MUNICIPALIDAD DISTRITAL DE QUINJALCA")</f>
        <v>MUNICIPALIDAD DISTRITAL DE QUINJALCA</v>
      </c>
      <c r="D39" s="25" t="str">
        <f ca="1">IFERROR(__xludf.DUMMYFUNCTION("""COMPUTED_VALUE"""),"LAMBAYEQUE")</f>
        <v>LAMBAYEQUE</v>
      </c>
      <c r="E39" s="25" t="str">
        <f ca="1">IFERROR(__xludf.DUMMYFUNCTION("""COMPUTED_VALUE"""),"AMAZONAS")</f>
        <v>AMAZONAS</v>
      </c>
      <c r="F39" s="25" t="str">
        <f ca="1">IFERROR(__xludf.DUMMYFUNCTION("""COMPUTED_VALUE"""),"CHACHAPOYAS")</f>
        <v>CHACHAPOYAS</v>
      </c>
      <c r="G39" s="25" t="str">
        <f ca="1">IFERROR(__xludf.DUMMYFUNCTION("""COMPUTED_VALUE"""),"QUINJALCA")</f>
        <v>QUINJALCA</v>
      </c>
      <c r="H39" s="25" t="str">
        <f ca="1">IFERROR(__xludf.DUMMYFUNCTION("""COMPUTED_VALUE"""),"RURAL")</f>
        <v>RURAL</v>
      </c>
      <c r="I39" s="25" t="str">
        <f ca="1">IFERROR(__xludf.DUMMYFUNCTION("""COMPUTED_VALUE"""),"Prioridad 5")</f>
        <v>Prioridad 5</v>
      </c>
      <c r="J39" s="42" t="s">
        <v>260</v>
      </c>
    </row>
    <row r="40" spans="1:10">
      <c r="A40" s="41">
        <f ca="1">IFERROR(__xludf.DUMMYFUNCTION("""COMPUTED_VALUE"""),42454)</f>
        <v>42454</v>
      </c>
      <c r="B40" s="25" t="str">
        <f ca="1">IFERROR(__xludf.DUMMYFUNCTION("""COMPUTED_VALUE"""),"MUNICIPALIDAD DISTRITAL")</f>
        <v>MUNICIPALIDAD DISTRITAL</v>
      </c>
      <c r="C40" s="25" t="str">
        <f ca="1">IFERROR(__xludf.DUMMYFUNCTION("""COMPUTED_VALUE"""),"MUNICIPALIDAD DISTRITAL DE SOLOCO")</f>
        <v>MUNICIPALIDAD DISTRITAL DE SOLOCO</v>
      </c>
      <c r="D40" s="25" t="str">
        <f ca="1">IFERROR(__xludf.DUMMYFUNCTION("""COMPUTED_VALUE"""),"LAMBAYEQUE")</f>
        <v>LAMBAYEQUE</v>
      </c>
      <c r="E40" s="25" t="str">
        <f ca="1">IFERROR(__xludf.DUMMYFUNCTION("""COMPUTED_VALUE"""),"AMAZONAS")</f>
        <v>AMAZONAS</v>
      </c>
      <c r="F40" s="25" t="str">
        <f ca="1">IFERROR(__xludf.DUMMYFUNCTION("""COMPUTED_VALUE"""),"CHACHAPOYAS")</f>
        <v>CHACHAPOYAS</v>
      </c>
      <c r="G40" s="25" t="str">
        <f ca="1">IFERROR(__xludf.DUMMYFUNCTION("""COMPUTED_VALUE"""),"SOLOCO")</f>
        <v>SOLOCO</v>
      </c>
      <c r="H40" s="25" t="str">
        <f ca="1">IFERROR(__xludf.DUMMYFUNCTION("""COMPUTED_VALUE"""),"RURAL")</f>
        <v>RURAL</v>
      </c>
      <c r="I40" s="25" t="str">
        <f ca="1">IFERROR(__xludf.DUMMYFUNCTION("""COMPUTED_VALUE"""),"Prioridad 5")</f>
        <v>Prioridad 5</v>
      </c>
      <c r="J40" s="42" t="s">
        <v>260</v>
      </c>
    </row>
    <row r="41" spans="1:10">
      <c r="A41" s="41">
        <f ca="1">IFERROR(__xludf.DUMMYFUNCTION("""COMPUTED_VALUE"""),42491)</f>
        <v>42491</v>
      </c>
      <c r="B41" s="25" t="str">
        <f ca="1">IFERROR(__xludf.DUMMYFUNCTION("""COMPUTED_VALUE"""),"GOBIERNO REGIONAL")</f>
        <v>GOBIERNO REGIONAL</v>
      </c>
      <c r="C41" s="25" t="str">
        <f ca="1">IFERROR(__xludf.DUMMYFUNCTION("""COMPUTED_VALUE"""),"GOBIERNO REGIONAL DE AMAZONAS")</f>
        <v>GOBIERNO REGIONAL DE AMAZONAS</v>
      </c>
      <c r="D41" s="25" t="str">
        <f ca="1">IFERROR(__xludf.DUMMYFUNCTION("""COMPUTED_VALUE"""),"LAMBAYEQUE")</f>
        <v>LAMBAYEQUE</v>
      </c>
      <c r="E41" s="25" t="str">
        <f ca="1">IFERROR(__xludf.DUMMYFUNCTION("""COMPUTED_VALUE"""),"AMAZONAS")</f>
        <v>AMAZONAS</v>
      </c>
      <c r="F41" s="25" t="str">
        <f ca="1">IFERROR(__xludf.DUMMYFUNCTION("""COMPUTED_VALUE"""),"CHACHAPOYAS ")</f>
        <v xml:space="preserve">CHACHAPOYAS </v>
      </c>
      <c r="G41" s="25" t="str">
        <f ca="1">IFERROR(__xludf.DUMMYFUNCTION("""COMPUTED_VALUE"""),"CHACHAPOYAS ")</f>
        <v xml:space="preserve">CHACHAPOYAS </v>
      </c>
      <c r="H41" s="25"/>
      <c r="I41" s="25" t="str">
        <f ca="1">IFERROR(__xludf.DUMMYFUNCTION("""COMPUTED_VALUE"""),"Prioridad 1")</f>
        <v>Prioridad 1</v>
      </c>
      <c r="J41" s="42" t="s">
        <v>260</v>
      </c>
    </row>
    <row r="42" spans="1:10">
      <c r="A42" s="41">
        <f ca="1">IFERROR(__xludf.DUMMYFUNCTION("""COMPUTED_VALUE"""),42550)</f>
        <v>42550</v>
      </c>
      <c r="B42" s="25" t="str">
        <f ca="1">IFERROR(__xludf.DUMMYFUNCTION("""COMPUTED_VALUE"""),"MUNICIPALIDAD PROVINCIAL")</f>
        <v>MUNICIPALIDAD PROVINCIAL</v>
      </c>
      <c r="C42" s="25" t="str">
        <f ca="1">IFERROR(__xludf.DUMMYFUNCTION("""COMPUTED_VALUE"""),"MUNICIPALIDAD PROVINCIAL DE CONDORCANQUI")</f>
        <v>MUNICIPALIDAD PROVINCIAL DE CONDORCANQUI</v>
      </c>
      <c r="D42" s="25" t="str">
        <f ca="1">IFERROR(__xludf.DUMMYFUNCTION("""COMPUTED_VALUE"""),"LAMBAYEQUE")</f>
        <v>LAMBAYEQUE</v>
      </c>
      <c r="E42" s="25" t="str">
        <f ca="1">IFERROR(__xludf.DUMMYFUNCTION("""COMPUTED_VALUE"""),"AMAZONAS")</f>
        <v>AMAZONAS</v>
      </c>
      <c r="F42" s="25" t="str">
        <f ca="1">IFERROR(__xludf.DUMMYFUNCTION("""COMPUTED_VALUE"""),"CONDORCANQUI")</f>
        <v>CONDORCANQUI</v>
      </c>
      <c r="G42" s="25" t="str">
        <f ca="1">IFERROR(__xludf.DUMMYFUNCTION("""COMPUTED_VALUE"""),"NIEVA")</f>
        <v>NIEVA</v>
      </c>
      <c r="H42" s="25" t="str">
        <f ca="1">IFERROR(__xludf.DUMMYFUNCTION("""COMPUTED_VALUE"""),"RURAL")</f>
        <v>RURAL</v>
      </c>
      <c r="I42" s="25" t="str">
        <f ca="1">IFERROR(__xludf.DUMMYFUNCTION("""COMPUTED_VALUE"""),"Prioridad 2")</f>
        <v>Prioridad 2</v>
      </c>
      <c r="J42" s="42" t="s">
        <v>260</v>
      </c>
    </row>
    <row r="43" spans="1:10">
      <c r="A43" s="41">
        <f ca="1">IFERROR(__xludf.DUMMYFUNCTION("""COMPUTED_VALUE"""),42579)</f>
        <v>42579</v>
      </c>
      <c r="B43" s="25" t="str">
        <f ca="1">IFERROR(__xludf.DUMMYFUNCTION("""COMPUTED_VALUE"""),"MUNICIPALIDAD DISTRITAL")</f>
        <v>MUNICIPALIDAD DISTRITAL</v>
      </c>
      <c r="C43" s="25" t="str">
        <f ca="1">IFERROR(__xludf.DUMMYFUNCTION("""COMPUTED_VALUE"""),"MUNICIPALIDAD DISTRITAL DE EL CENEPA")</f>
        <v>MUNICIPALIDAD DISTRITAL DE EL CENEPA</v>
      </c>
      <c r="D43" s="25" t="str">
        <f ca="1">IFERROR(__xludf.DUMMYFUNCTION("""COMPUTED_VALUE"""),"LAMBAYEQUE")</f>
        <v>LAMBAYEQUE</v>
      </c>
      <c r="E43" s="25" t="str">
        <f ca="1">IFERROR(__xludf.DUMMYFUNCTION("""COMPUTED_VALUE"""),"AMAZONAS")</f>
        <v>AMAZONAS</v>
      </c>
      <c r="F43" s="25" t="str">
        <f ca="1">IFERROR(__xludf.DUMMYFUNCTION("""COMPUTED_VALUE"""),"CONDORCANQUI")</f>
        <v>CONDORCANQUI</v>
      </c>
      <c r="G43" s="25" t="str">
        <f ca="1">IFERROR(__xludf.DUMMYFUNCTION("""COMPUTED_VALUE"""),"EL CENEPA")</f>
        <v>EL CENEPA</v>
      </c>
      <c r="H43" s="25" t="str">
        <f ca="1">IFERROR(__xludf.DUMMYFUNCTION("""COMPUTED_VALUE"""),"RURAL")</f>
        <v>RURAL</v>
      </c>
      <c r="I43" s="25" t="str">
        <f ca="1">IFERROR(__xludf.DUMMYFUNCTION("""COMPUTED_VALUE"""),"Prioridad 5")</f>
        <v>Prioridad 5</v>
      </c>
      <c r="J43" s="42" t="s">
        <v>260</v>
      </c>
    </row>
    <row r="44" spans="1:10">
      <c r="A44" s="41">
        <f ca="1">IFERROR(__xludf.DUMMYFUNCTION("""COMPUTED_VALUE"""),42580)</f>
        <v>42580</v>
      </c>
      <c r="B44" s="25" t="str">
        <f ca="1">IFERROR(__xludf.DUMMYFUNCTION("""COMPUTED_VALUE"""),"MUNICIPALIDAD DISTRITAL")</f>
        <v>MUNICIPALIDAD DISTRITAL</v>
      </c>
      <c r="C44" s="25" t="str">
        <f ca="1">IFERROR(__xludf.DUMMYFUNCTION("""COMPUTED_VALUE"""),"MUNICIPALIDAD DISTRITAL DE RIO SANTIAGO")</f>
        <v>MUNICIPALIDAD DISTRITAL DE RIO SANTIAGO</v>
      </c>
      <c r="D44" s="25" t="str">
        <f ca="1">IFERROR(__xludf.DUMMYFUNCTION("""COMPUTED_VALUE"""),"LAMBAYEQUE")</f>
        <v>LAMBAYEQUE</v>
      </c>
      <c r="E44" s="25" t="str">
        <f ca="1">IFERROR(__xludf.DUMMYFUNCTION("""COMPUTED_VALUE"""),"AMAZONAS")</f>
        <v>AMAZONAS</v>
      </c>
      <c r="F44" s="25" t="str">
        <f ca="1">IFERROR(__xludf.DUMMYFUNCTION("""COMPUTED_VALUE"""),"CONDORCANQUI")</f>
        <v>CONDORCANQUI</v>
      </c>
      <c r="G44" s="25" t="str">
        <f ca="1">IFERROR(__xludf.DUMMYFUNCTION("""COMPUTED_VALUE"""),"RIO SANTIAGO")</f>
        <v>RIO SANTIAGO</v>
      </c>
      <c r="H44" s="25" t="str">
        <f ca="1">IFERROR(__xludf.DUMMYFUNCTION("""COMPUTED_VALUE"""),"RURAL")</f>
        <v>RURAL</v>
      </c>
      <c r="I44" s="25" t="str">
        <f ca="1">IFERROR(__xludf.DUMMYFUNCTION("""COMPUTED_VALUE"""),"Prioridad 5")</f>
        <v>Prioridad 5</v>
      </c>
      <c r="J44" s="42" t="s">
        <v>260</v>
      </c>
    </row>
    <row r="45" spans="1:10">
      <c r="A45" s="41">
        <f ca="1">IFERROR(__xludf.DUMMYFUNCTION("""COMPUTED_VALUE"""),42612)</f>
        <v>42612</v>
      </c>
      <c r="B45" s="25" t="str">
        <f ca="1">IFERROR(__xludf.DUMMYFUNCTION("""COMPUTED_VALUE"""),"MUNICIPALIDAD PROVINCIAL")</f>
        <v>MUNICIPALIDAD PROVINCIAL</v>
      </c>
      <c r="C45" s="25" t="str">
        <f ca="1">IFERROR(__xludf.DUMMYFUNCTION("""COMPUTED_VALUE"""),"MUNICIPALIDAD PROVINCIAL DE LUYA")</f>
        <v>MUNICIPALIDAD PROVINCIAL DE LUYA</v>
      </c>
      <c r="D45" s="25" t="str">
        <f ca="1">IFERROR(__xludf.DUMMYFUNCTION("""COMPUTED_VALUE"""),"SAN MARTÍN")</f>
        <v>SAN MARTÍN</v>
      </c>
      <c r="E45" s="25" t="str">
        <f ca="1">IFERROR(__xludf.DUMMYFUNCTION("""COMPUTED_VALUE"""),"AMAZONAS")</f>
        <v>AMAZONAS</v>
      </c>
      <c r="F45" s="25" t="str">
        <f ca="1">IFERROR(__xludf.DUMMYFUNCTION("""COMPUTED_VALUE"""),"LUYA")</f>
        <v>LUYA</v>
      </c>
      <c r="G45" s="25" t="str">
        <f ca="1">IFERROR(__xludf.DUMMYFUNCTION("""COMPUTED_VALUE"""),"LAMUD")</f>
        <v>LAMUD</v>
      </c>
      <c r="H45" s="25" t="str">
        <f ca="1">IFERROR(__xludf.DUMMYFUNCTION("""COMPUTED_VALUE"""),"RURAL")</f>
        <v>RURAL</v>
      </c>
      <c r="I45" s="25" t="str">
        <f ca="1">IFERROR(__xludf.DUMMYFUNCTION("""COMPUTED_VALUE"""),"Prioridad 1")</f>
        <v>Prioridad 1</v>
      </c>
      <c r="J45" s="42" t="s">
        <v>260</v>
      </c>
    </row>
    <row r="46" spans="1:10">
      <c r="A46" s="41">
        <f ca="1">IFERROR(__xludf.DUMMYFUNCTION("""COMPUTED_VALUE"""),42651)</f>
        <v>42651</v>
      </c>
      <c r="B46" s="25" t="str">
        <f ca="1">IFERROR(__xludf.DUMMYFUNCTION("""COMPUTED_VALUE"""),"MUNICIPALIDAD DISTRITAL")</f>
        <v>MUNICIPALIDAD DISTRITAL</v>
      </c>
      <c r="C46" s="25" t="str">
        <f ca="1">IFERROR(__xludf.DUMMYFUNCTION("""COMPUTED_VALUE"""),"MUNICIPALIDAD DISTRITAL DE CAMPORREDONDO")</f>
        <v>MUNICIPALIDAD DISTRITAL DE CAMPORREDONDO</v>
      </c>
      <c r="D46" s="25" t="str">
        <f ca="1">IFERROR(__xludf.DUMMYFUNCTION("""COMPUTED_VALUE"""),"SAN MARTÍN")</f>
        <v>SAN MARTÍN</v>
      </c>
      <c r="E46" s="25" t="str">
        <f ca="1">IFERROR(__xludf.DUMMYFUNCTION("""COMPUTED_VALUE"""),"AMAZONAS")</f>
        <v>AMAZONAS</v>
      </c>
      <c r="F46" s="25" t="str">
        <f ca="1">IFERROR(__xludf.DUMMYFUNCTION("""COMPUTED_VALUE"""),"LUYA")</f>
        <v>LUYA</v>
      </c>
      <c r="G46" s="25" t="str">
        <f ca="1">IFERROR(__xludf.DUMMYFUNCTION("""COMPUTED_VALUE"""),"CAMPORREDONDO")</f>
        <v>CAMPORREDONDO</v>
      </c>
      <c r="H46" s="25" t="str">
        <f ca="1">IFERROR(__xludf.DUMMYFUNCTION("""COMPUTED_VALUE"""),"URBANO")</f>
        <v>URBANO</v>
      </c>
      <c r="I46" s="25" t="str">
        <f ca="1">IFERROR(__xludf.DUMMYFUNCTION("""COMPUTED_VALUE"""),"Prioridad 4")</f>
        <v>Prioridad 4</v>
      </c>
      <c r="J46" s="42" t="s">
        <v>260</v>
      </c>
    </row>
    <row r="47" spans="1:10">
      <c r="A47" s="41">
        <f ca="1">IFERROR(__xludf.DUMMYFUNCTION("""COMPUTED_VALUE"""),42675)</f>
        <v>42675</v>
      </c>
      <c r="B47" s="25" t="str">
        <f ca="1">IFERROR(__xludf.DUMMYFUNCTION("""COMPUTED_VALUE"""),"MUNICIPALIDAD DISTRITAL")</f>
        <v>MUNICIPALIDAD DISTRITAL</v>
      </c>
      <c r="C47" s="25" t="str">
        <f ca="1">IFERROR(__xludf.DUMMYFUNCTION("""COMPUTED_VALUE"""),"MUNICIPALIDAD DISTRITAL DE COCABAMBA")</f>
        <v>MUNICIPALIDAD DISTRITAL DE COCABAMBA</v>
      </c>
      <c r="D47" s="25" t="str">
        <f ca="1">IFERROR(__xludf.DUMMYFUNCTION("""COMPUTED_VALUE"""),"SAN MARTÍN")</f>
        <v>SAN MARTÍN</v>
      </c>
      <c r="E47" s="25" t="str">
        <f ca="1">IFERROR(__xludf.DUMMYFUNCTION("""COMPUTED_VALUE"""),"AMAZONAS")</f>
        <v>AMAZONAS</v>
      </c>
      <c r="F47" s="25" t="str">
        <f ca="1">IFERROR(__xludf.DUMMYFUNCTION("""COMPUTED_VALUE"""),"LUYA")</f>
        <v>LUYA</v>
      </c>
      <c r="G47" s="25" t="str">
        <f ca="1">IFERROR(__xludf.DUMMYFUNCTION("""COMPUTED_VALUE"""),"COCABAMBA")</f>
        <v>COCABAMBA</v>
      </c>
      <c r="H47" s="25" t="str">
        <f ca="1">IFERROR(__xludf.DUMMYFUNCTION("""COMPUTED_VALUE"""),"RURAL")</f>
        <v>RURAL</v>
      </c>
      <c r="I47" s="25" t="str">
        <f ca="1">IFERROR(__xludf.DUMMYFUNCTION("""COMPUTED_VALUE"""),"Prioridad 5")</f>
        <v>Prioridad 5</v>
      </c>
      <c r="J47" s="42" t="s">
        <v>260</v>
      </c>
    </row>
    <row r="48" spans="1:10">
      <c r="A48" s="41">
        <f ca="1">IFERROR(__xludf.DUMMYFUNCTION("""COMPUTED_VALUE"""),42712)</f>
        <v>42712</v>
      </c>
      <c r="B48" s="25" t="str">
        <f ca="1">IFERROR(__xludf.DUMMYFUNCTION("""COMPUTED_VALUE"""),"MUNICIPALIDAD DISTRITAL")</f>
        <v>MUNICIPALIDAD DISTRITAL</v>
      </c>
      <c r="C48" s="25" t="str">
        <f ca="1">IFERROR(__xludf.DUMMYFUNCTION("""COMPUTED_VALUE"""),"MUNICIPALIDAD DISTRITAL DE COLCAMAR")</f>
        <v>MUNICIPALIDAD DISTRITAL DE COLCAMAR</v>
      </c>
      <c r="D48" s="25" t="str">
        <f ca="1">IFERROR(__xludf.DUMMYFUNCTION("""COMPUTED_VALUE"""),"SAN MARTÍN")</f>
        <v>SAN MARTÍN</v>
      </c>
      <c r="E48" s="25" t="str">
        <f ca="1">IFERROR(__xludf.DUMMYFUNCTION("""COMPUTED_VALUE"""),"AMAZONAS")</f>
        <v>AMAZONAS</v>
      </c>
      <c r="F48" s="25" t="str">
        <f ca="1">IFERROR(__xludf.DUMMYFUNCTION("""COMPUTED_VALUE"""),"LUYA")</f>
        <v>LUYA</v>
      </c>
      <c r="G48" s="25" t="str">
        <f ca="1">IFERROR(__xludf.DUMMYFUNCTION("""COMPUTED_VALUE"""),"COLCAMAR")</f>
        <v>COLCAMAR</v>
      </c>
      <c r="H48" s="25" t="str">
        <f ca="1">IFERROR(__xludf.DUMMYFUNCTION("""COMPUTED_VALUE"""),"RURAL")</f>
        <v>RURAL</v>
      </c>
      <c r="I48" s="25" t="str">
        <f ca="1">IFERROR(__xludf.DUMMYFUNCTION("""COMPUTED_VALUE"""),"Prioridad 5")</f>
        <v>Prioridad 5</v>
      </c>
      <c r="J48" s="42" t="s">
        <v>260</v>
      </c>
    </row>
    <row r="49" spans="1:10">
      <c r="A49" s="41">
        <f ca="1">IFERROR(__xludf.DUMMYFUNCTION("""COMPUTED_VALUE"""),42729)</f>
        <v>42729</v>
      </c>
      <c r="B49" s="25" t="str">
        <f ca="1">IFERROR(__xludf.DUMMYFUNCTION("""COMPUTED_VALUE"""),"MUNICIPALIDAD DISTRITAL")</f>
        <v>MUNICIPALIDAD DISTRITAL</v>
      </c>
      <c r="C49" s="25" t="str">
        <f ca="1">IFERROR(__xludf.DUMMYFUNCTION("""COMPUTED_VALUE"""),"MUNICIPALIDAD DISTRITAL DE CONILA")</f>
        <v>MUNICIPALIDAD DISTRITAL DE CONILA</v>
      </c>
      <c r="D49" s="25" t="str">
        <f ca="1">IFERROR(__xludf.DUMMYFUNCTION("""COMPUTED_VALUE"""),"SAN MARTÍN")</f>
        <v>SAN MARTÍN</v>
      </c>
      <c r="E49" s="25" t="str">
        <f ca="1">IFERROR(__xludf.DUMMYFUNCTION("""COMPUTED_VALUE"""),"AMAZONAS")</f>
        <v>AMAZONAS</v>
      </c>
      <c r="F49" s="25" t="str">
        <f ca="1">IFERROR(__xludf.DUMMYFUNCTION("""COMPUTED_VALUE"""),"LUYA")</f>
        <v>LUYA</v>
      </c>
      <c r="G49" s="25" t="str">
        <f ca="1">IFERROR(__xludf.DUMMYFUNCTION("""COMPUTED_VALUE"""),"CONILA")</f>
        <v>CONILA</v>
      </c>
      <c r="H49" s="25" t="str">
        <f ca="1">IFERROR(__xludf.DUMMYFUNCTION("""COMPUTED_VALUE"""),"RURAL")</f>
        <v>RURAL</v>
      </c>
      <c r="I49" s="25" t="str">
        <f ca="1">IFERROR(__xludf.DUMMYFUNCTION("""COMPUTED_VALUE"""),"Prioridad 5")</f>
        <v>Prioridad 5</v>
      </c>
      <c r="J49" s="42" t="s">
        <v>260</v>
      </c>
    </row>
    <row r="50" spans="1:10">
      <c r="A50" s="41">
        <f ca="1">IFERROR(__xludf.DUMMYFUNCTION("""COMPUTED_VALUE"""),42736)</f>
        <v>42736</v>
      </c>
      <c r="B50" s="25" t="str">
        <f ca="1">IFERROR(__xludf.DUMMYFUNCTION("""COMPUTED_VALUE"""),"MUNICIPALIDAD DISTRITAL")</f>
        <v>MUNICIPALIDAD DISTRITAL</v>
      </c>
      <c r="C50" s="25" t="str">
        <f ca="1">IFERROR(__xludf.DUMMYFUNCTION("""COMPUTED_VALUE"""),"MUNICIPALIDAD DISTRITAL DE INGUILPATA")</f>
        <v>MUNICIPALIDAD DISTRITAL DE INGUILPATA</v>
      </c>
      <c r="D50" s="25" t="str">
        <f ca="1">IFERROR(__xludf.DUMMYFUNCTION("""COMPUTED_VALUE"""),"SAN MARTÍN")</f>
        <v>SAN MARTÍN</v>
      </c>
      <c r="E50" s="25" t="str">
        <f ca="1">IFERROR(__xludf.DUMMYFUNCTION("""COMPUTED_VALUE"""),"AMAZONAS")</f>
        <v>AMAZONAS</v>
      </c>
      <c r="F50" s="25" t="str">
        <f ca="1">IFERROR(__xludf.DUMMYFUNCTION("""COMPUTED_VALUE"""),"LUYA")</f>
        <v>LUYA</v>
      </c>
      <c r="G50" s="25" t="str">
        <f ca="1">IFERROR(__xludf.DUMMYFUNCTION("""COMPUTED_VALUE"""),"INGUILPATA")</f>
        <v>INGUILPATA</v>
      </c>
      <c r="H50" s="25" t="str">
        <f ca="1">IFERROR(__xludf.DUMMYFUNCTION("""COMPUTED_VALUE"""),"RURAL")</f>
        <v>RURAL</v>
      </c>
      <c r="I50" s="25" t="str">
        <f ca="1">IFERROR(__xludf.DUMMYFUNCTION("""COMPUTED_VALUE"""),"Prioridad 4")</f>
        <v>Prioridad 4</v>
      </c>
      <c r="J50" s="42" t="s">
        <v>260</v>
      </c>
    </row>
    <row r="51" spans="1:10">
      <c r="A51" s="41">
        <f ca="1">IFERROR(__xludf.DUMMYFUNCTION("""COMPUTED_VALUE"""),42807)</f>
        <v>42807</v>
      </c>
      <c r="B51" s="25" t="str">
        <f ca="1">IFERROR(__xludf.DUMMYFUNCTION("""COMPUTED_VALUE"""),"MUNICIPALIDAD DISTRITAL")</f>
        <v>MUNICIPALIDAD DISTRITAL</v>
      </c>
      <c r="C51" s="25" t="str">
        <f ca="1">IFERROR(__xludf.DUMMYFUNCTION("""COMPUTED_VALUE"""),"MUNICIPALIDAD DISTRITAL DE LONGUITA")</f>
        <v>MUNICIPALIDAD DISTRITAL DE LONGUITA</v>
      </c>
      <c r="D51" s="25" t="str">
        <f ca="1">IFERROR(__xludf.DUMMYFUNCTION("""COMPUTED_VALUE"""),"SAN MARTÍN")</f>
        <v>SAN MARTÍN</v>
      </c>
      <c r="E51" s="25" t="str">
        <f ca="1">IFERROR(__xludf.DUMMYFUNCTION("""COMPUTED_VALUE"""),"AMAZONAS")</f>
        <v>AMAZONAS</v>
      </c>
      <c r="F51" s="25" t="str">
        <f ca="1">IFERROR(__xludf.DUMMYFUNCTION("""COMPUTED_VALUE"""),"LUYA")</f>
        <v>LUYA</v>
      </c>
      <c r="G51" s="25" t="str">
        <f ca="1">IFERROR(__xludf.DUMMYFUNCTION("""COMPUTED_VALUE"""),"LONGUITA")</f>
        <v>LONGUITA</v>
      </c>
      <c r="H51" s="25" t="str">
        <f ca="1">IFERROR(__xludf.DUMMYFUNCTION("""COMPUTED_VALUE"""),"RURAL")</f>
        <v>RURAL</v>
      </c>
      <c r="I51" s="25" t="str">
        <f ca="1">IFERROR(__xludf.DUMMYFUNCTION("""COMPUTED_VALUE"""),"Prioridad 5")</f>
        <v>Prioridad 5</v>
      </c>
      <c r="J51" s="42" t="s">
        <v>260</v>
      </c>
    </row>
    <row r="52" spans="1:10">
      <c r="A52" s="41">
        <f ca="1">IFERROR(__xludf.DUMMYFUNCTION("""COMPUTED_VALUE"""),42808)</f>
        <v>42808</v>
      </c>
      <c r="B52" s="25" t="str">
        <f ca="1">IFERROR(__xludf.DUMMYFUNCTION("""COMPUTED_VALUE"""),"MUNICIPALIDAD DISTRITAL")</f>
        <v>MUNICIPALIDAD DISTRITAL</v>
      </c>
      <c r="C52" s="25" t="str">
        <f ca="1">IFERROR(__xludf.DUMMYFUNCTION("""COMPUTED_VALUE"""),"MUNICIPALIDAD DISTRITAL DE LONYA CHICO")</f>
        <v>MUNICIPALIDAD DISTRITAL DE LONYA CHICO</v>
      </c>
      <c r="D52" s="25" t="str">
        <f ca="1">IFERROR(__xludf.DUMMYFUNCTION("""COMPUTED_VALUE"""),"SAN MARTÍN")</f>
        <v>SAN MARTÍN</v>
      </c>
      <c r="E52" s="25" t="str">
        <f ca="1">IFERROR(__xludf.DUMMYFUNCTION("""COMPUTED_VALUE"""),"AMAZONAS")</f>
        <v>AMAZONAS</v>
      </c>
      <c r="F52" s="25" t="str">
        <f ca="1">IFERROR(__xludf.DUMMYFUNCTION("""COMPUTED_VALUE"""),"LUYA")</f>
        <v>LUYA</v>
      </c>
      <c r="G52" s="25" t="str">
        <f ca="1">IFERROR(__xludf.DUMMYFUNCTION("""COMPUTED_VALUE"""),"LONYA CHICO")</f>
        <v>LONYA CHICO</v>
      </c>
      <c r="H52" s="25" t="str">
        <f ca="1">IFERROR(__xludf.DUMMYFUNCTION("""COMPUTED_VALUE"""),"RURAL")</f>
        <v>RURAL</v>
      </c>
      <c r="I52" s="25" t="str">
        <f ca="1">IFERROR(__xludf.DUMMYFUNCTION("""COMPUTED_VALUE"""),"Prioridad 5")</f>
        <v>Prioridad 5</v>
      </c>
      <c r="J52" s="42" t="s">
        <v>260</v>
      </c>
    </row>
    <row r="53" spans="1:10">
      <c r="A53" s="41">
        <f ca="1">IFERROR(__xludf.DUMMYFUNCTION("""COMPUTED_VALUE"""),42810)</f>
        <v>42810</v>
      </c>
      <c r="B53" s="25" t="str">
        <f ca="1">IFERROR(__xludf.DUMMYFUNCTION("""COMPUTED_VALUE"""),"MUNICIPALIDAD DISTRITAL")</f>
        <v>MUNICIPALIDAD DISTRITAL</v>
      </c>
      <c r="C53" s="25" t="str">
        <f ca="1">IFERROR(__xludf.DUMMYFUNCTION("""COMPUTED_VALUE"""),"MUNICIPALIDAD DISTRITAL DE LUYA")</f>
        <v>MUNICIPALIDAD DISTRITAL DE LUYA</v>
      </c>
      <c r="D53" s="25" t="str">
        <f ca="1">IFERROR(__xludf.DUMMYFUNCTION("""COMPUTED_VALUE"""),"SAN MARTÍN")</f>
        <v>SAN MARTÍN</v>
      </c>
      <c r="E53" s="25" t="str">
        <f ca="1">IFERROR(__xludf.DUMMYFUNCTION("""COMPUTED_VALUE"""),"AMAZONAS")</f>
        <v>AMAZONAS</v>
      </c>
      <c r="F53" s="25" t="str">
        <f ca="1">IFERROR(__xludf.DUMMYFUNCTION("""COMPUTED_VALUE"""),"LUYA")</f>
        <v>LUYA</v>
      </c>
      <c r="G53" s="25" t="str">
        <f ca="1">IFERROR(__xludf.DUMMYFUNCTION("""COMPUTED_VALUE"""),"LUYA")</f>
        <v>LUYA</v>
      </c>
      <c r="H53" s="25" t="str">
        <f ca="1">IFERROR(__xludf.DUMMYFUNCTION("""COMPUTED_VALUE"""),"URBANO")</f>
        <v>URBANO</v>
      </c>
      <c r="I53" s="25" t="str">
        <f ca="1">IFERROR(__xludf.DUMMYFUNCTION("""COMPUTED_VALUE"""),"Prioridad 4")</f>
        <v>Prioridad 4</v>
      </c>
      <c r="J53" s="42" t="s">
        <v>260</v>
      </c>
    </row>
    <row r="54" spans="1:10">
      <c r="A54" s="41">
        <f ca="1">IFERROR(__xludf.DUMMYFUNCTION("""COMPUTED_VALUE"""),42795)</f>
        <v>42795</v>
      </c>
      <c r="B54" s="25" t="str">
        <f ca="1">IFERROR(__xludf.DUMMYFUNCTION("""COMPUTED_VALUE"""),"MUNICIPALIDAD DISTRITAL")</f>
        <v>MUNICIPALIDAD DISTRITAL</v>
      </c>
      <c r="C54" s="25" t="str">
        <f ca="1">IFERROR(__xludf.DUMMYFUNCTION("""COMPUTED_VALUE"""),"MUNICIPALIDAD DISTRITAL DE LUYA VIEJO")</f>
        <v>MUNICIPALIDAD DISTRITAL DE LUYA VIEJO</v>
      </c>
      <c r="D54" s="25" t="str">
        <f ca="1">IFERROR(__xludf.DUMMYFUNCTION("""COMPUTED_VALUE"""),"SAN MARTÍN")</f>
        <v>SAN MARTÍN</v>
      </c>
      <c r="E54" s="25" t="str">
        <f ca="1">IFERROR(__xludf.DUMMYFUNCTION("""COMPUTED_VALUE"""),"AMAZONAS")</f>
        <v>AMAZONAS</v>
      </c>
      <c r="F54" s="25" t="str">
        <f ca="1">IFERROR(__xludf.DUMMYFUNCTION("""COMPUTED_VALUE"""),"LUYA")</f>
        <v>LUYA</v>
      </c>
      <c r="G54" s="25" t="str">
        <f ca="1">IFERROR(__xludf.DUMMYFUNCTION("""COMPUTED_VALUE"""),"LUYA VIEJO")</f>
        <v>LUYA VIEJO</v>
      </c>
      <c r="H54" s="25" t="str">
        <f ca="1">IFERROR(__xludf.DUMMYFUNCTION("""COMPUTED_VALUE"""),"RURAL")</f>
        <v>RURAL</v>
      </c>
      <c r="I54" s="25" t="str">
        <f ca="1">IFERROR(__xludf.DUMMYFUNCTION("""COMPUTED_VALUE"""),"Prioridad 4")</f>
        <v>Prioridad 4</v>
      </c>
      <c r="J54" s="42" t="s">
        <v>260</v>
      </c>
    </row>
    <row r="55" spans="1:10">
      <c r="A55" s="41">
        <f ca="1">IFERROR(__xludf.DUMMYFUNCTION("""COMPUTED_VALUE"""),42838)</f>
        <v>42838</v>
      </c>
      <c r="B55" s="25" t="str">
        <f ca="1">IFERROR(__xludf.DUMMYFUNCTION("""COMPUTED_VALUE"""),"MUNICIPALIDAD DISTRITAL")</f>
        <v>MUNICIPALIDAD DISTRITAL</v>
      </c>
      <c r="C55" s="25" t="str">
        <f ca="1">IFERROR(__xludf.DUMMYFUNCTION("""COMPUTED_VALUE"""),"MUNICIPALIDAD DISTRITAL DE MARIA")</f>
        <v>MUNICIPALIDAD DISTRITAL DE MARIA</v>
      </c>
      <c r="D55" s="25" t="str">
        <f ca="1">IFERROR(__xludf.DUMMYFUNCTION("""COMPUTED_VALUE"""),"SAN MARTÍN")</f>
        <v>SAN MARTÍN</v>
      </c>
      <c r="E55" s="25" t="str">
        <f ca="1">IFERROR(__xludf.DUMMYFUNCTION("""COMPUTED_VALUE"""),"AMAZONAS")</f>
        <v>AMAZONAS</v>
      </c>
      <c r="F55" s="25" t="str">
        <f ca="1">IFERROR(__xludf.DUMMYFUNCTION("""COMPUTED_VALUE"""),"LUYA")</f>
        <v>LUYA</v>
      </c>
      <c r="G55" s="25" t="str">
        <f ca="1">IFERROR(__xludf.DUMMYFUNCTION("""COMPUTED_VALUE"""),"MARIA")</f>
        <v>MARIA</v>
      </c>
      <c r="H55" s="25" t="str">
        <f ca="1">IFERROR(__xludf.DUMMYFUNCTION("""COMPUTED_VALUE"""),"RURAL")</f>
        <v>RURAL</v>
      </c>
      <c r="I55" s="25" t="str">
        <f ca="1">IFERROR(__xludf.DUMMYFUNCTION("""COMPUTED_VALUE"""),"Prioridad 3")</f>
        <v>Prioridad 3</v>
      </c>
      <c r="J55" s="42" t="s">
        <v>260</v>
      </c>
    </row>
    <row r="56" spans="1:10">
      <c r="A56" s="41">
        <f ca="1">IFERROR(__xludf.DUMMYFUNCTION("""COMPUTED_VALUE"""),42839)</f>
        <v>42839</v>
      </c>
      <c r="B56" s="25" t="str">
        <f ca="1">IFERROR(__xludf.DUMMYFUNCTION("""COMPUTED_VALUE"""),"MUNICIPALIDAD DISTRITAL")</f>
        <v>MUNICIPALIDAD DISTRITAL</v>
      </c>
      <c r="C56" s="25" t="str">
        <f ca="1">IFERROR(__xludf.DUMMYFUNCTION("""COMPUTED_VALUE"""),"MUNICIPALIDAD DISTRITAL DE OCALLI")</f>
        <v>MUNICIPALIDAD DISTRITAL DE OCALLI</v>
      </c>
      <c r="D56" s="25" t="str">
        <f ca="1">IFERROR(__xludf.DUMMYFUNCTION("""COMPUTED_VALUE"""),"SAN MARTÍN")</f>
        <v>SAN MARTÍN</v>
      </c>
      <c r="E56" s="25" t="str">
        <f ca="1">IFERROR(__xludf.DUMMYFUNCTION("""COMPUTED_VALUE"""),"AMAZONAS")</f>
        <v>AMAZONAS</v>
      </c>
      <c r="F56" s="25" t="str">
        <f ca="1">IFERROR(__xludf.DUMMYFUNCTION("""COMPUTED_VALUE"""),"LUYA")</f>
        <v>LUYA</v>
      </c>
      <c r="G56" s="25" t="str">
        <f ca="1">IFERROR(__xludf.DUMMYFUNCTION("""COMPUTED_VALUE"""),"OCALLI")</f>
        <v>OCALLI</v>
      </c>
      <c r="H56" s="25" t="str">
        <f ca="1">IFERROR(__xludf.DUMMYFUNCTION("""COMPUTED_VALUE"""),"RURAL")</f>
        <v>RURAL</v>
      </c>
      <c r="I56" s="25" t="str">
        <f ca="1">IFERROR(__xludf.DUMMYFUNCTION("""COMPUTED_VALUE"""),"Prioridad 5")</f>
        <v>Prioridad 5</v>
      </c>
      <c r="J56" s="42" t="s">
        <v>260</v>
      </c>
    </row>
    <row r="57" spans="1:10">
      <c r="A57" s="41">
        <f ca="1">IFERROR(__xludf.DUMMYFUNCTION("""COMPUTED_VALUE"""),42856)</f>
        <v>42856</v>
      </c>
      <c r="B57" s="25" t="str">
        <f ca="1">IFERROR(__xludf.DUMMYFUNCTION("""COMPUTED_VALUE"""),"MUNICIPALIDAD DISTRITAL")</f>
        <v>MUNICIPALIDAD DISTRITAL</v>
      </c>
      <c r="C57" s="25" t="str">
        <f ca="1">IFERROR(__xludf.DUMMYFUNCTION("""COMPUTED_VALUE"""),"MUNICIPALIDAD DISTRITAL DE OCUMAL")</f>
        <v>MUNICIPALIDAD DISTRITAL DE OCUMAL</v>
      </c>
      <c r="D57" s="25" t="str">
        <f ca="1">IFERROR(__xludf.DUMMYFUNCTION("""COMPUTED_VALUE"""),"SAN MARTÍN")</f>
        <v>SAN MARTÍN</v>
      </c>
      <c r="E57" s="25" t="str">
        <f ca="1">IFERROR(__xludf.DUMMYFUNCTION("""COMPUTED_VALUE"""),"AMAZONAS")</f>
        <v>AMAZONAS</v>
      </c>
      <c r="F57" s="25" t="str">
        <f ca="1">IFERROR(__xludf.DUMMYFUNCTION("""COMPUTED_VALUE"""),"LUYA")</f>
        <v>LUYA</v>
      </c>
      <c r="G57" s="25" t="str">
        <f ca="1">IFERROR(__xludf.DUMMYFUNCTION("""COMPUTED_VALUE"""),"OCUMAL")</f>
        <v>OCUMAL</v>
      </c>
      <c r="H57" s="25" t="str">
        <f ca="1">IFERROR(__xludf.DUMMYFUNCTION("""COMPUTED_VALUE"""),"RURAL")</f>
        <v>RURAL</v>
      </c>
      <c r="I57" s="25" t="str">
        <f ca="1">IFERROR(__xludf.DUMMYFUNCTION("""COMPUTED_VALUE"""),"Prioridad 5")</f>
        <v>Prioridad 5</v>
      </c>
      <c r="J57" s="42" t="s">
        <v>260</v>
      </c>
    </row>
    <row r="58" spans="1:10">
      <c r="A58" s="41">
        <f ca="1">IFERROR(__xludf.DUMMYFUNCTION("""COMPUTED_VALUE"""),42915)</f>
        <v>42915</v>
      </c>
      <c r="B58" s="25" t="str">
        <f ca="1">IFERROR(__xludf.DUMMYFUNCTION("""COMPUTED_VALUE"""),"MUNICIPALIDAD DISTRITAL")</f>
        <v>MUNICIPALIDAD DISTRITAL</v>
      </c>
      <c r="C58" s="25" t="str">
        <f ca="1">IFERROR(__xludf.DUMMYFUNCTION("""COMPUTED_VALUE"""),"MUNICIPALIDAD DISTRITAL DE PISUQUIA")</f>
        <v>MUNICIPALIDAD DISTRITAL DE PISUQUIA</v>
      </c>
      <c r="D58" s="25" t="str">
        <f ca="1">IFERROR(__xludf.DUMMYFUNCTION("""COMPUTED_VALUE"""),"SAN MARTÍN")</f>
        <v>SAN MARTÍN</v>
      </c>
      <c r="E58" s="25" t="str">
        <f ca="1">IFERROR(__xludf.DUMMYFUNCTION("""COMPUTED_VALUE"""),"AMAZONAS")</f>
        <v>AMAZONAS</v>
      </c>
      <c r="F58" s="25" t="str">
        <f ca="1">IFERROR(__xludf.DUMMYFUNCTION("""COMPUTED_VALUE"""),"LUYA")</f>
        <v>LUYA</v>
      </c>
      <c r="G58" s="25" t="str">
        <f ca="1">IFERROR(__xludf.DUMMYFUNCTION("""COMPUTED_VALUE"""),"PISUQUIA")</f>
        <v>PISUQUIA</v>
      </c>
      <c r="H58" s="25" t="str">
        <f ca="1">IFERROR(__xludf.DUMMYFUNCTION("""COMPUTED_VALUE"""),"RURAL")</f>
        <v>RURAL</v>
      </c>
      <c r="I58" s="25" t="str">
        <f ca="1">IFERROR(__xludf.DUMMYFUNCTION("""COMPUTED_VALUE"""),"Prioridad 5")</f>
        <v>Prioridad 5</v>
      </c>
      <c r="J58" s="42" t="s">
        <v>260</v>
      </c>
    </row>
    <row r="59" spans="1:10">
      <c r="A59" s="41">
        <f ca="1">IFERROR(__xludf.DUMMYFUNCTION("""COMPUTED_VALUE"""),42944)</f>
        <v>42944</v>
      </c>
      <c r="B59" s="25" t="str">
        <f ca="1">IFERROR(__xludf.DUMMYFUNCTION("""COMPUTED_VALUE"""),"MUNICIPALIDAD DISTRITAL")</f>
        <v>MUNICIPALIDAD DISTRITAL</v>
      </c>
      <c r="C59" s="25" t="str">
        <f ca="1">IFERROR(__xludf.DUMMYFUNCTION("""COMPUTED_VALUE"""),"MUNICIPALIDAD DISTRITAL DE PROVIDENCIA")</f>
        <v>MUNICIPALIDAD DISTRITAL DE PROVIDENCIA</v>
      </c>
      <c r="D59" s="25" t="str">
        <f ca="1">IFERROR(__xludf.DUMMYFUNCTION("""COMPUTED_VALUE"""),"SAN MARTÍN")</f>
        <v>SAN MARTÍN</v>
      </c>
      <c r="E59" s="25" t="str">
        <f ca="1">IFERROR(__xludf.DUMMYFUNCTION("""COMPUTED_VALUE"""),"AMAZONAS")</f>
        <v>AMAZONAS</v>
      </c>
      <c r="F59" s="25" t="str">
        <f ca="1">IFERROR(__xludf.DUMMYFUNCTION("""COMPUTED_VALUE"""),"LUYA")</f>
        <v>LUYA</v>
      </c>
      <c r="G59" s="25" t="str">
        <f ca="1">IFERROR(__xludf.DUMMYFUNCTION("""COMPUTED_VALUE"""),"PROVIDENCIA")</f>
        <v>PROVIDENCIA</v>
      </c>
      <c r="H59" s="25" t="str">
        <f ca="1">IFERROR(__xludf.DUMMYFUNCTION("""COMPUTED_VALUE"""),"RURAL")</f>
        <v>RURAL</v>
      </c>
      <c r="I59" s="25" t="str">
        <f ca="1">IFERROR(__xludf.DUMMYFUNCTION("""COMPUTED_VALUE"""),"Prioridad 5")</f>
        <v>Prioridad 5</v>
      </c>
      <c r="J59" s="42" t="s">
        <v>260</v>
      </c>
    </row>
    <row r="60" spans="1:10">
      <c r="A60" s="41">
        <f ca="1">IFERROR(__xludf.DUMMYFUNCTION("""COMPUTED_VALUE"""),43077)</f>
        <v>43077</v>
      </c>
      <c r="B60" s="25" t="str">
        <f ca="1">IFERROR(__xludf.DUMMYFUNCTION("""COMPUTED_VALUE"""),"MUNICIPALIDAD DISTRITAL")</f>
        <v>MUNICIPALIDAD DISTRITAL</v>
      </c>
      <c r="C60" s="25" t="str">
        <f ca="1">IFERROR(__xludf.DUMMYFUNCTION("""COMPUTED_VALUE"""),"MUNICIPALIDAD DISTRITAL DE SAN CRISTOBAL EN LUYA")</f>
        <v>MUNICIPALIDAD DISTRITAL DE SAN CRISTOBAL EN LUYA</v>
      </c>
      <c r="D60" s="25" t="str">
        <f ca="1">IFERROR(__xludf.DUMMYFUNCTION("""COMPUTED_VALUE"""),"SAN MARTÍN")</f>
        <v>SAN MARTÍN</v>
      </c>
      <c r="E60" s="25" t="str">
        <f ca="1">IFERROR(__xludf.DUMMYFUNCTION("""COMPUTED_VALUE"""),"AMAZONAS")</f>
        <v>AMAZONAS</v>
      </c>
      <c r="F60" s="25" t="str">
        <f ca="1">IFERROR(__xludf.DUMMYFUNCTION("""COMPUTED_VALUE"""),"LUYA")</f>
        <v>LUYA</v>
      </c>
      <c r="G60" s="25" t="str">
        <f ca="1">IFERROR(__xludf.DUMMYFUNCTION("""COMPUTED_VALUE"""),"SAN CRISTOBAL")</f>
        <v>SAN CRISTOBAL</v>
      </c>
      <c r="H60" s="25" t="str">
        <f ca="1">IFERROR(__xludf.DUMMYFUNCTION("""COMPUTED_VALUE"""),"RURAL")</f>
        <v>RURAL</v>
      </c>
      <c r="I60" s="25" t="str">
        <f ca="1">IFERROR(__xludf.DUMMYFUNCTION("""COMPUTED_VALUE"""),"Prioridad 4")</f>
        <v>Prioridad 4</v>
      </c>
      <c r="J60" s="42" t="s">
        <v>260</v>
      </c>
    </row>
    <row r="61" spans="1:10">
      <c r="A61" s="41">
        <f ca="1">IFERROR(__xludf.DUMMYFUNCTION("""COMPUTED_VALUE"""),43094)</f>
        <v>43094</v>
      </c>
      <c r="B61" s="25" t="str">
        <f ca="1">IFERROR(__xludf.DUMMYFUNCTION("""COMPUTED_VALUE"""),"MUNICIPALIDAD DISTRITAL")</f>
        <v>MUNICIPALIDAD DISTRITAL</v>
      </c>
      <c r="C61" s="25" t="str">
        <f ca="1">IFERROR(__xludf.DUMMYFUNCTION("""COMPUTED_VALUE"""),"MUNICIPALIDAD DISTRITAL DE SAN FRANCISCO DEL YESO")</f>
        <v>MUNICIPALIDAD DISTRITAL DE SAN FRANCISCO DEL YESO</v>
      </c>
      <c r="D61" s="25" t="str">
        <f ca="1">IFERROR(__xludf.DUMMYFUNCTION("""COMPUTED_VALUE"""),"SAN MARTÍN")</f>
        <v>SAN MARTÍN</v>
      </c>
      <c r="E61" s="25" t="str">
        <f ca="1">IFERROR(__xludf.DUMMYFUNCTION("""COMPUTED_VALUE"""),"AMAZONAS")</f>
        <v>AMAZONAS</v>
      </c>
      <c r="F61" s="25" t="str">
        <f ca="1">IFERROR(__xludf.DUMMYFUNCTION("""COMPUTED_VALUE"""),"LUYA")</f>
        <v>LUYA</v>
      </c>
      <c r="G61" s="25" t="str">
        <f ca="1">IFERROR(__xludf.DUMMYFUNCTION("""COMPUTED_VALUE"""),"SAN FRANCISCO DEL YESO")</f>
        <v>SAN FRANCISCO DEL YESO</v>
      </c>
      <c r="H61" s="25" t="str">
        <f ca="1">IFERROR(__xludf.DUMMYFUNCTION("""COMPUTED_VALUE"""),"RURAL")</f>
        <v>RURAL</v>
      </c>
      <c r="I61" s="25" t="str">
        <f ca="1">IFERROR(__xludf.DUMMYFUNCTION("""COMPUTED_VALUE"""),"Prioridad 4")</f>
        <v>Prioridad 4</v>
      </c>
      <c r="J61" s="42" t="s">
        <v>260</v>
      </c>
    </row>
    <row r="62" spans="1:10">
      <c r="A62" s="41">
        <f ca="1">IFERROR(__xludf.DUMMYFUNCTION("""COMPUTED_VALUE"""),42901)</f>
        <v>42901</v>
      </c>
      <c r="B62" s="25" t="str">
        <f ca="1">IFERROR(__xludf.DUMMYFUNCTION("""COMPUTED_VALUE"""),"MUNICIPALIDAD DISTRITAL")</f>
        <v>MUNICIPALIDAD DISTRITAL</v>
      </c>
      <c r="C62" s="25" t="str">
        <f ca="1">IFERROR(__xludf.DUMMYFUNCTION("""COMPUTED_VALUE"""),"MUNICIPALIDAD DISTRITAL DE SAN JERONIMO EN LUYA")</f>
        <v>MUNICIPALIDAD DISTRITAL DE SAN JERONIMO EN LUYA</v>
      </c>
      <c r="D62" s="25" t="str">
        <f ca="1">IFERROR(__xludf.DUMMYFUNCTION("""COMPUTED_VALUE"""),"SAN MARTÍN")</f>
        <v>SAN MARTÍN</v>
      </c>
      <c r="E62" s="25" t="str">
        <f ca="1">IFERROR(__xludf.DUMMYFUNCTION("""COMPUTED_VALUE"""),"AMAZONAS")</f>
        <v>AMAZONAS</v>
      </c>
      <c r="F62" s="25" t="str">
        <f ca="1">IFERROR(__xludf.DUMMYFUNCTION("""COMPUTED_VALUE"""),"LUYA")</f>
        <v>LUYA</v>
      </c>
      <c r="G62" s="25" t="str">
        <f ca="1">IFERROR(__xludf.DUMMYFUNCTION("""COMPUTED_VALUE"""),"SAN JERONIMO")</f>
        <v>SAN JERONIMO</v>
      </c>
      <c r="H62" s="25" t="str">
        <f ca="1">IFERROR(__xludf.DUMMYFUNCTION("""COMPUTED_VALUE"""),"RURAL")</f>
        <v>RURAL</v>
      </c>
      <c r="I62" s="25" t="str">
        <f ca="1">IFERROR(__xludf.DUMMYFUNCTION("""COMPUTED_VALUE"""),"Prioridad 5")</f>
        <v>Prioridad 5</v>
      </c>
      <c r="J62" s="42" t="s">
        <v>260</v>
      </c>
    </row>
    <row r="63" spans="1:10">
      <c r="A63" s="41">
        <f ca="1">IFERROR(__xludf.DUMMYFUNCTION("""COMPUTED_VALUE"""),42916)</f>
        <v>42916</v>
      </c>
      <c r="B63" s="25" t="str">
        <f ca="1">IFERROR(__xludf.DUMMYFUNCTION("""COMPUTED_VALUE"""),"MUNICIPALIDAD DISTRITAL")</f>
        <v>MUNICIPALIDAD DISTRITAL</v>
      </c>
      <c r="C63" s="25" t="str">
        <f ca="1">IFERROR(__xludf.DUMMYFUNCTION("""COMPUTED_VALUE"""),"MUNICIPALIDAD DISTRITAL DE SAN JUAN DE LOPECANCHA")</f>
        <v>MUNICIPALIDAD DISTRITAL DE SAN JUAN DE LOPECANCHA</v>
      </c>
      <c r="D63" s="25" t="str">
        <f ca="1">IFERROR(__xludf.DUMMYFUNCTION("""COMPUTED_VALUE"""),"SAN MARTÍN")</f>
        <v>SAN MARTÍN</v>
      </c>
      <c r="E63" s="25" t="str">
        <f ca="1">IFERROR(__xludf.DUMMYFUNCTION("""COMPUTED_VALUE"""),"AMAZONAS")</f>
        <v>AMAZONAS</v>
      </c>
      <c r="F63" s="25" t="str">
        <f ca="1">IFERROR(__xludf.DUMMYFUNCTION("""COMPUTED_VALUE"""),"LUYA")</f>
        <v>LUYA</v>
      </c>
      <c r="G63" s="25" t="str">
        <f ca="1">IFERROR(__xludf.DUMMYFUNCTION("""COMPUTED_VALUE"""),"SAN JUAN DE LOPECANCHA")</f>
        <v>SAN JUAN DE LOPECANCHA</v>
      </c>
      <c r="H63" s="25" t="str">
        <f ca="1">IFERROR(__xludf.DUMMYFUNCTION("""COMPUTED_VALUE"""),"RURAL")</f>
        <v>RURAL</v>
      </c>
      <c r="I63" s="25" t="str">
        <f ca="1">IFERROR(__xludf.DUMMYFUNCTION("""COMPUTED_VALUE"""),"Prioridad 5")</f>
        <v>Prioridad 5</v>
      </c>
      <c r="J63" s="42" t="s">
        <v>260</v>
      </c>
    </row>
    <row r="64" spans="1:10">
      <c r="A64" s="41">
        <f ca="1">IFERROR(__xludf.DUMMYFUNCTION("""COMPUTED_VALUE"""),42943)</f>
        <v>42943</v>
      </c>
      <c r="B64" s="25" t="str">
        <f ca="1">IFERROR(__xludf.DUMMYFUNCTION("""COMPUTED_VALUE"""),"MUNICIPALIDAD DISTRITAL")</f>
        <v>MUNICIPALIDAD DISTRITAL</v>
      </c>
      <c r="C64" s="25" t="str">
        <f ca="1">IFERROR(__xludf.DUMMYFUNCTION("""COMPUTED_VALUE"""),"MUNICIPALIDAD DISTRITAL DE SANTA CATALINA")</f>
        <v>MUNICIPALIDAD DISTRITAL DE SANTA CATALINA</v>
      </c>
      <c r="D64" s="25" t="str">
        <f ca="1">IFERROR(__xludf.DUMMYFUNCTION("""COMPUTED_VALUE"""),"SAN MARTÍN")</f>
        <v>SAN MARTÍN</v>
      </c>
      <c r="E64" s="25" t="str">
        <f ca="1">IFERROR(__xludf.DUMMYFUNCTION("""COMPUTED_VALUE"""),"AMAZONAS")</f>
        <v>AMAZONAS</v>
      </c>
      <c r="F64" s="25" t="str">
        <f ca="1">IFERROR(__xludf.DUMMYFUNCTION("""COMPUTED_VALUE"""),"LUYA")</f>
        <v>LUYA</v>
      </c>
      <c r="G64" s="25" t="str">
        <f ca="1">IFERROR(__xludf.DUMMYFUNCTION("""COMPUTED_VALUE"""),"SANTA CATALINA")</f>
        <v>SANTA CATALINA</v>
      </c>
      <c r="H64" s="25" t="str">
        <f ca="1">IFERROR(__xludf.DUMMYFUNCTION("""COMPUTED_VALUE"""),"RURAL")</f>
        <v>RURAL</v>
      </c>
      <c r="I64" s="25" t="str">
        <f ca="1">IFERROR(__xludf.DUMMYFUNCTION("""COMPUTED_VALUE"""),"Prioridad 5")</f>
        <v>Prioridad 5</v>
      </c>
      <c r="J64" s="42" t="s">
        <v>260</v>
      </c>
    </row>
    <row r="65" spans="1:10">
      <c r="A65" s="41">
        <f ca="1">IFERROR(__xludf.DUMMYFUNCTION("""COMPUTED_VALUE"""),42977)</f>
        <v>42977</v>
      </c>
      <c r="B65" s="25" t="str">
        <f ca="1">IFERROR(__xludf.DUMMYFUNCTION("""COMPUTED_VALUE"""),"MUNICIPALIDAD DISTRITAL")</f>
        <v>MUNICIPALIDAD DISTRITAL</v>
      </c>
      <c r="C65" s="25" t="str">
        <f ca="1">IFERROR(__xludf.DUMMYFUNCTION("""COMPUTED_VALUE"""),"MUNICIPALIDAD DISTRITAL DE SANTO TOMAS EN LUYA")</f>
        <v>MUNICIPALIDAD DISTRITAL DE SANTO TOMAS EN LUYA</v>
      </c>
      <c r="D65" s="25" t="str">
        <f ca="1">IFERROR(__xludf.DUMMYFUNCTION("""COMPUTED_VALUE"""),"SAN MARTÍN")</f>
        <v>SAN MARTÍN</v>
      </c>
      <c r="E65" s="25" t="str">
        <f ca="1">IFERROR(__xludf.DUMMYFUNCTION("""COMPUTED_VALUE"""),"AMAZONAS")</f>
        <v>AMAZONAS</v>
      </c>
      <c r="F65" s="25" t="str">
        <f ca="1">IFERROR(__xludf.DUMMYFUNCTION("""COMPUTED_VALUE"""),"LUYA")</f>
        <v>LUYA</v>
      </c>
      <c r="G65" s="25" t="str">
        <f ca="1">IFERROR(__xludf.DUMMYFUNCTION("""COMPUTED_VALUE"""),"SANTO TOMAS")</f>
        <v>SANTO TOMAS</v>
      </c>
      <c r="H65" s="25" t="str">
        <f ca="1">IFERROR(__xludf.DUMMYFUNCTION("""COMPUTED_VALUE"""),"RURAL")</f>
        <v>RURAL</v>
      </c>
      <c r="I65" s="25" t="str">
        <f ca="1">IFERROR(__xludf.DUMMYFUNCTION("""COMPUTED_VALUE"""),"Prioridad 5")</f>
        <v>Prioridad 5</v>
      </c>
      <c r="J65" s="42" t="s">
        <v>260</v>
      </c>
    </row>
    <row r="66" spans="1:10">
      <c r="A66" s="41">
        <f ca="1">IFERROR(__xludf.DUMMYFUNCTION("""COMPUTED_VALUE"""),43040)</f>
        <v>43040</v>
      </c>
      <c r="B66" s="25" t="str">
        <f ca="1">IFERROR(__xludf.DUMMYFUNCTION("""COMPUTED_VALUE"""),"MUNICIPALIDAD DISTRITAL")</f>
        <v>MUNICIPALIDAD DISTRITAL</v>
      </c>
      <c r="C66" s="25" t="str">
        <f ca="1">IFERROR(__xludf.DUMMYFUNCTION("""COMPUTED_VALUE"""),"MUNICIPALIDAD DISTRITAL DE TINGO")</f>
        <v>MUNICIPALIDAD DISTRITAL DE TINGO</v>
      </c>
      <c r="D66" s="25" t="str">
        <f ca="1">IFERROR(__xludf.DUMMYFUNCTION("""COMPUTED_VALUE"""),"SAN MARTÍN")</f>
        <v>SAN MARTÍN</v>
      </c>
      <c r="E66" s="25" t="str">
        <f ca="1">IFERROR(__xludf.DUMMYFUNCTION("""COMPUTED_VALUE"""),"AMAZONAS")</f>
        <v>AMAZONAS</v>
      </c>
      <c r="F66" s="25" t="str">
        <f ca="1">IFERROR(__xludf.DUMMYFUNCTION("""COMPUTED_VALUE"""),"LUYA")</f>
        <v>LUYA</v>
      </c>
      <c r="G66" s="25" t="str">
        <f ca="1">IFERROR(__xludf.DUMMYFUNCTION("""COMPUTED_VALUE"""),"TINGO")</f>
        <v>TINGO</v>
      </c>
      <c r="H66" s="25" t="str">
        <f ca="1">IFERROR(__xludf.DUMMYFUNCTION("""COMPUTED_VALUE"""),"RURAL")</f>
        <v>RURAL</v>
      </c>
      <c r="I66" s="25" t="str">
        <f ca="1">IFERROR(__xludf.DUMMYFUNCTION("""COMPUTED_VALUE"""),"Prioridad 4")</f>
        <v>Prioridad 4</v>
      </c>
      <c r="J66" s="42" t="s">
        <v>260</v>
      </c>
    </row>
    <row r="67" spans="1:10">
      <c r="A67" s="41">
        <f ca="1">IFERROR(__xludf.DUMMYFUNCTION("""COMPUTED_VALUE"""),43055)</f>
        <v>43055</v>
      </c>
      <c r="B67" s="25" t="str">
        <f ca="1">IFERROR(__xludf.DUMMYFUNCTION("""COMPUTED_VALUE"""),"MUNICIPALIDAD DISTRITAL")</f>
        <v>MUNICIPALIDAD DISTRITAL</v>
      </c>
      <c r="C67" s="25" t="str">
        <f ca="1">IFERROR(__xludf.DUMMYFUNCTION("""COMPUTED_VALUE"""),"MUNICIPALIDAD DISTRITAL DE TRITA")</f>
        <v>MUNICIPALIDAD DISTRITAL DE TRITA</v>
      </c>
      <c r="D67" s="25" t="str">
        <f ca="1">IFERROR(__xludf.DUMMYFUNCTION("""COMPUTED_VALUE"""),"SAN MARTÍN")</f>
        <v>SAN MARTÍN</v>
      </c>
      <c r="E67" s="25" t="str">
        <f ca="1">IFERROR(__xludf.DUMMYFUNCTION("""COMPUTED_VALUE"""),"AMAZONAS")</f>
        <v>AMAZONAS</v>
      </c>
      <c r="F67" s="25" t="str">
        <f ca="1">IFERROR(__xludf.DUMMYFUNCTION("""COMPUTED_VALUE"""),"LUYA")</f>
        <v>LUYA</v>
      </c>
      <c r="G67" s="25" t="str">
        <f ca="1">IFERROR(__xludf.DUMMYFUNCTION("""COMPUTED_VALUE"""),"TRITA")</f>
        <v>TRITA</v>
      </c>
      <c r="H67" s="25" t="str">
        <f ca="1">IFERROR(__xludf.DUMMYFUNCTION("""COMPUTED_VALUE"""),"RURAL")</f>
        <v>RURAL</v>
      </c>
      <c r="I67" s="25" t="str">
        <f ca="1">IFERROR(__xludf.DUMMYFUNCTION("""COMPUTED_VALUE"""),"Prioridad 5")</f>
        <v>Prioridad 5</v>
      </c>
      <c r="J67" s="42" t="s">
        <v>260</v>
      </c>
    </row>
    <row r="68" spans="1:10">
      <c r="A68" s="41">
        <f ca="1">IFERROR(__xludf.DUMMYFUNCTION("""COMPUTED_VALUE"""),43098)</f>
        <v>43098</v>
      </c>
      <c r="B68" s="25" t="str">
        <f ca="1">IFERROR(__xludf.DUMMYFUNCTION("""COMPUTED_VALUE"""),"MUNICIPALIDAD PROVINCIAL")</f>
        <v>MUNICIPALIDAD PROVINCIAL</v>
      </c>
      <c r="C68" s="25" t="str">
        <f ca="1">IFERROR(__xludf.DUMMYFUNCTION("""COMPUTED_VALUE"""),"MUNICIPALIDAD PROVINCIAL DE RODRIGUEZ DE MENDOZA")</f>
        <v>MUNICIPALIDAD PROVINCIAL DE RODRIGUEZ DE MENDOZA</v>
      </c>
      <c r="D68" s="25" t="str">
        <f ca="1">IFERROR(__xludf.DUMMYFUNCTION("""COMPUTED_VALUE"""),"SAN MARTÍN")</f>
        <v>SAN MARTÍN</v>
      </c>
      <c r="E68" s="25" t="str">
        <f ca="1">IFERROR(__xludf.DUMMYFUNCTION("""COMPUTED_VALUE"""),"AMAZONAS")</f>
        <v>AMAZONAS</v>
      </c>
      <c r="F68" s="25" t="str">
        <f ca="1">IFERROR(__xludf.DUMMYFUNCTION("""COMPUTED_VALUE"""),"RODRIGUEZ DE MENDOZA")</f>
        <v>RODRIGUEZ DE MENDOZA</v>
      </c>
      <c r="G68" s="25" t="str">
        <f ca="1">IFERROR(__xludf.DUMMYFUNCTION("""COMPUTED_VALUE"""),"SAN NICOLAS")</f>
        <v>SAN NICOLAS</v>
      </c>
      <c r="H68" s="25" t="str">
        <f ca="1">IFERROR(__xludf.DUMMYFUNCTION("""COMPUTED_VALUE"""),"URBANO")</f>
        <v>URBANO</v>
      </c>
      <c r="I68" s="25" t="str">
        <f ca="1">IFERROR(__xludf.DUMMYFUNCTION("""COMPUTED_VALUE"""),"Prioridad 1")</f>
        <v>Prioridad 1</v>
      </c>
      <c r="J68" s="42" t="s">
        <v>260</v>
      </c>
    </row>
    <row r="69" spans="1:10">
      <c r="A69" s="41">
        <f ca="1">IFERROR(__xludf.DUMMYFUNCTION("""COMPUTED_VALUE"""),43102)</f>
        <v>43102</v>
      </c>
      <c r="B69" s="25" t="str">
        <f ca="1">IFERROR(__xludf.DUMMYFUNCTION("""COMPUTED_VALUE"""),"MUNICIPALIDAD DISTRITAL")</f>
        <v>MUNICIPALIDAD DISTRITAL</v>
      </c>
      <c r="C69" s="25" t="str">
        <f ca="1">IFERROR(__xludf.DUMMYFUNCTION("""COMPUTED_VALUE"""),"MUNICIPALIDAD DISTRITAL DE CHIRIMOTO")</f>
        <v>MUNICIPALIDAD DISTRITAL DE CHIRIMOTO</v>
      </c>
      <c r="D69" s="25" t="str">
        <f ca="1">IFERROR(__xludf.DUMMYFUNCTION("""COMPUTED_VALUE"""),"SAN MARTÍN")</f>
        <v>SAN MARTÍN</v>
      </c>
      <c r="E69" s="25" t="str">
        <f ca="1">IFERROR(__xludf.DUMMYFUNCTION("""COMPUTED_VALUE"""),"AMAZONAS")</f>
        <v>AMAZONAS</v>
      </c>
      <c r="F69" s="25" t="str">
        <f ca="1">IFERROR(__xludf.DUMMYFUNCTION("""COMPUTED_VALUE"""),"RODRIGUEZ DE MENDOZA")</f>
        <v>RODRIGUEZ DE MENDOZA</v>
      </c>
      <c r="G69" s="25" t="str">
        <f ca="1">IFERROR(__xludf.DUMMYFUNCTION("""COMPUTED_VALUE"""),"CHIRIMOTO")</f>
        <v>CHIRIMOTO</v>
      </c>
      <c r="H69" s="25" t="str">
        <f ca="1">IFERROR(__xludf.DUMMYFUNCTION("""COMPUTED_VALUE"""),"RURAL")</f>
        <v>RURAL</v>
      </c>
      <c r="I69" s="25" t="str">
        <f ca="1">IFERROR(__xludf.DUMMYFUNCTION("""COMPUTED_VALUE"""),"Prioridad 5")</f>
        <v>Prioridad 5</v>
      </c>
      <c r="J69" s="42" t="s">
        <v>260</v>
      </c>
    </row>
    <row r="70" spans="1:10">
      <c r="A70" s="41">
        <f ca="1">IFERROR(__xludf.DUMMYFUNCTION("""COMPUTED_VALUE"""),43251)</f>
        <v>43251</v>
      </c>
      <c r="B70" s="25" t="str">
        <f ca="1">IFERROR(__xludf.DUMMYFUNCTION("""COMPUTED_VALUE"""),"MUNICIPALIDAD DISTRITAL")</f>
        <v>MUNICIPALIDAD DISTRITAL</v>
      </c>
      <c r="C70" s="25" t="str">
        <f ca="1">IFERROR(__xludf.DUMMYFUNCTION("""COMPUTED_VALUE"""),"MUNICIPALIDAD DISTRITAL DE COCHAMAL")</f>
        <v>MUNICIPALIDAD DISTRITAL DE COCHAMAL</v>
      </c>
      <c r="D70" s="25" t="str">
        <f ca="1">IFERROR(__xludf.DUMMYFUNCTION("""COMPUTED_VALUE"""),"SAN MARTÍN")</f>
        <v>SAN MARTÍN</v>
      </c>
      <c r="E70" s="25" t="str">
        <f ca="1">IFERROR(__xludf.DUMMYFUNCTION("""COMPUTED_VALUE"""),"AMAZONAS")</f>
        <v>AMAZONAS</v>
      </c>
      <c r="F70" s="25" t="str">
        <f ca="1">IFERROR(__xludf.DUMMYFUNCTION("""COMPUTED_VALUE"""),"RODRIGUEZ DE MENDOZA")</f>
        <v>RODRIGUEZ DE MENDOZA</v>
      </c>
      <c r="G70" s="25" t="str">
        <f ca="1">IFERROR(__xludf.DUMMYFUNCTION("""COMPUTED_VALUE"""),"COCHAMAL")</f>
        <v>COCHAMAL</v>
      </c>
      <c r="H70" s="25" t="str">
        <f ca="1">IFERROR(__xludf.DUMMYFUNCTION("""COMPUTED_VALUE"""),"RURAL")</f>
        <v>RURAL</v>
      </c>
      <c r="I70" s="25" t="str">
        <f ca="1">IFERROR(__xludf.DUMMYFUNCTION("""COMPUTED_VALUE"""),"Prioridad 2")</f>
        <v>Prioridad 2</v>
      </c>
      <c r="J70" s="42" t="s">
        <v>260</v>
      </c>
    </row>
    <row r="71" spans="1:10">
      <c r="A71" s="41">
        <f ca="1">IFERROR(__xludf.DUMMYFUNCTION("""COMPUTED_VALUE"""),43280)</f>
        <v>43280</v>
      </c>
      <c r="B71" s="25" t="str">
        <f ca="1">IFERROR(__xludf.DUMMYFUNCTION("""COMPUTED_VALUE"""),"MUNICIPALIDAD DISTRITAL")</f>
        <v>MUNICIPALIDAD DISTRITAL</v>
      </c>
      <c r="C71" s="25" t="str">
        <f ca="1">IFERROR(__xludf.DUMMYFUNCTION("""COMPUTED_VALUE"""),"MUNICIPALIDAD DISTRITAL DE HUAMBO EN RODRIGUEZ DE MENDOZA")</f>
        <v>MUNICIPALIDAD DISTRITAL DE HUAMBO EN RODRIGUEZ DE MENDOZA</v>
      </c>
      <c r="D71" s="25" t="str">
        <f ca="1">IFERROR(__xludf.DUMMYFUNCTION("""COMPUTED_VALUE"""),"SAN MARTÍN")</f>
        <v>SAN MARTÍN</v>
      </c>
      <c r="E71" s="25" t="str">
        <f ca="1">IFERROR(__xludf.DUMMYFUNCTION("""COMPUTED_VALUE"""),"AMAZONAS")</f>
        <v>AMAZONAS</v>
      </c>
      <c r="F71" s="25" t="str">
        <f ca="1">IFERROR(__xludf.DUMMYFUNCTION("""COMPUTED_VALUE"""),"RODRIGUEZ DE MENDOZA")</f>
        <v>RODRIGUEZ DE MENDOZA</v>
      </c>
      <c r="G71" s="25" t="str">
        <f ca="1">IFERROR(__xludf.DUMMYFUNCTION("""COMPUTED_VALUE"""),"HUAMBO")</f>
        <v>HUAMBO</v>
      </c>
      <c r="H71" s="25" t="str">
        <f ca="1">IFERROR(__xludf.DUMMYFUNCTION("""COMPUTED_VALUE"""),"RURAL")</f>
        <v>RURAL</v>
      </c>
      <c r="I71" s="25" t="str">
        <f ca="1">IFERROR(__xludf.DUMMYFUNCTION("""COMPUTED_VALUE"""),"Prioridad 3")</f>
        <v>Prioridad 3</v>
      </c>
      <c r="J71" s="42" t="s">
        <v>260</v>
      </c>
    </row>
    <row r="72" spans="1:10">
      <c r="A72" s="41">
        <f ca="1">IFERROR(__xludf.DUMMYFUNCTION("""COMPUTED_VALUE"""),43308)</f>
        <v>43308</v>
      </c>
      <c r="B72" s="25" t="str">
        <f ca="1">IFERROR(__xludf.DUMMYFUNCTION("""COMPUTED_VALUE"""),"MUNICIPALIDAD DISTRITAL")</f>
        <v>MUNICIPALIDAD DISTRITAL</v>
      </c>
      <c r="C72" s="25" t="str">
        <f ca="1">IFERROR(__xludf.DUMMYFUNCTION("""COMPUTED_VALUE"""),"MUNICIPALIDAD DISTRITAL DE LIMABAMBA")</f>
        <v>MUNICIPALIDAD DISTRITAL DE LIMABAMBA</v>
      </c>
      <c r="D72" s="25" t="str">
        <f ca="1">IFERROR(__xludf.DUMMYFUNCTION("""COMPUTED_VALUE"""),"SAN MARTÍN")</f>
        <v>SAN MARTÍN</v>
      </c>
      <c r="E72" s="25" t="str">
        <f ca="1">IFERROR(__xludf.DUMMYFUNCTION("""COMPUTED_VALUE"""),"AMAZONAS")</f>
        <v>AMAZONAS</v>
      </c>
      <c r="F72" s="25" t="str">
        <f ca="1">IFERROR(__xludf.DUMMYFUNCTION("""COMPUTED_VALUE"""),"RODRIGUEZ DE MENDOZA")</f>
        <v>RODRIGUEZ DE MENDOZA</v>
      </c>
      <c r="G72" s="25" t="str">
        <f ca="1">IFERROR(__xludf.DUMMYFUNCTION("""COMPUTED_VALUE"""),"LIMABAMBA")</f>
        <v>LIMABAMBA</v>
      </c>
      <c r="H72" s="25" t="str">
        <f ca="1">IFERROR(__xludf.DUMMYFUNCTION("""COMPUTED_VALUE"""),"RURAL")</f>
        <v>RURAL</v>
      </c>
      <c r="I72" s="25" t="str">
        <f ca="1">IFERROR(__xludf.DUMMYFUNCTION("""COMPUTED_VALUE"""),"Prioridad 5")</f>
        <v>Prioridad 5</v>
      </c>
      <c r="J72" s="42" t="s">
        <v>260</v>
      </c>
    </row>
    <row r="73" spans="1:10">
      <c r="A73" s="41">
        <f ca="1">IFERROR(__xludf.DUMMYFUNCTION("""COMPUTED_VALUE"""),43342)</f>
        <v>43342</v>
      </c>
      <c r="B73" s="25" t="str">
        <f ca="1">IFERROR(__xludf.DUMMYFUNCTION("""COMPUTED_VALUE"""),"MUNICIPALIDAD DISTRITAL")</f>
        <v>MUNICIPALIDAD DISTRITAL</v>
      </c>
      <c r="C73" s="25" t="str">
        <f ca="1">IFERROR(__xludf.DUMMYFUNCTION("""COMPUTED_VALUE"""),"MUNICIPALIDAD DISTRITAL DE LONGAR")</f>
        <v>MUNICIPALIDAD DISTRITAL DE LONGAR</v>
      </c>
      <c r="D73" s="25" t="str">
        <f ca="1">IFERROR(__xludf.DUMMYFUNCTION("""COMPUTED_VALUE"""),"SAN MARTÍN")</f>
        <v>SAN MARTÍN</v>
      </c>
      <c r="E73" s="25" t="str">
        <f ca="1">IFERROR(__xludf.DUMMYFUNCTION("""COMPUTED_VALUE"""),"AMAZONAS")</f>
        <v>AMAZONAS</v>
      </c>
      <c r="F73" s="25" t="str">
        <f ca="1">IFERROR(__xludf.DUMMYFUNCTION("""COMPUTED_VALUE"""),"RODRIGUEZ DE MENDOZA")</f>
        <v>RODRIGUEZ DE MENDOZA</v>
      </c>
      <c r="G73" s="25" t="str">
        <f ca="1">IFERROR(__xludf.DUMMYFUNCTION("""COMPUTED_VALUE"""),"LONGAR")</f>
        <v>LONGAR</v>
      </c>
      <c r="H73" s="25" t="str">
        <f ca="1">IFERROR(__xludf.DUMMYFUNCTION("""COMPUTED_VALUE"""),"RURAL")</f>
        <v>RURAL</v>
      </c>
      <c r="I73" s="25" t="str">
        <f ca="1">IFERROR(__xludf.DUMMYFUNCTION("""COMPUTED_VALUE"""),"Prioridad 3")</f>
        <v>Prioridad 3</v>
      </c>
      <c r="J73" s="42" t="s">
        <v>260</v>
      </c>
    </row>
    <row r="74" spans="1:10">
      <c r="A74" s="41">
        <f ca="1">IFERROR(__xludf.DUMMYFUNCTION("""COMPUTED_VALUE"""),43343)</f>
        <v>43343</v>
      </c>
      <c r="B74" s="25" t="str">
        <f ca="1">IFERROR(__xludf.DUMMYFUNCTION("""COMPUTED_VALUE"""),"MUNICIPALIDAD DISTRITAL")</f>
        <v>MUNICIPALIDAD DISTRITAL</v>
      </c>
      <c r="C74" s="25" t="str">
        <f ca="1">IFERROR(__xludf.DUMMYFUNCTION("""COMPUTED_VALUE"""),"MUNICIPALIDAD DISTRITAL DE MARISCAL BENAVIDES")</f>
        <v>MUNICIPALIDAD DISTRITAL DE MARISCAL BENAVIDES</v>
      </c>
      <c r="D74" s="25" t="str">
        <f ca="1">IFERROR(__xludf.DUMMYFUNCTION("""COMPUTED_VALUE"""),"SAN MARTÍN")</f>
        <v>SAN MARTÍN</v>
      </c>
      <c r="E74" s="25" t="str">
        <f ca="1">IFERROR(__xludf.DUMMYFUNCTION("""COMPUTED_VALUE"""),"AMAZONAS")</f>
        <v>AMAZONAS</v>
      </c>
      <c r="F74" s="25" t="str">
        <f ca="1">IFERROR(__xludf.DUMMYFUNCTION("""COMPUTED_VALUE"""),"RODRIGUEZ DE MENDOZA")</f>
        <v>RODRIGUEZ DE MENDOZA</v>
      </c>
      <c r="G74" s="25" t="str">
        <f ca="1">IFERROR(__xludf.DUMMYFUNCTION("""COMPUTED_VALUE"""),"MARISCAL BENAVIDES")</f>
        <v>MARISCAL BENAVIDES</v>
      </c>
      <c r="H74" s="25" t="str">
        <f ca="1">IFERROR(__xludf.DUMMYFUNCTION("""COMPUTED_VALUE"""),"RURAL")</f>
        <v>RURAL</v>
      </c>
      <c r="I74" s="25" t="str">
        <f ca="1">IFERROR(__xludf.DUMMYFUNCTION("""COMPUTED_VALUE"""),"Prioridad 3")</f>
        <v>Prioridad 3</v>
      </c>
      <c r="J74" s="42" t="s">
        <v>260</v>
      </c>
    </row>
    <row r="75" spans="1:10">
      <c r="A75" s="41">
        <f ca="1">IFERROR(__xludf.DUMMYFUNCTION("""COMPUTED_VALUE"""),43371)</f>
        <v>43371</v>
      </c>
      <c r="B75" s="25" t="str">
        <f ca="1">IFERROR(__xludf.DUMMYFUNCTION("""COMPUTED_VALUE"""),"MUNICIPALIDAD DISTRITAL")</f>
        <v>MUNICIPALIDAD DISTRITAL</v>
      </c>
      <c r="C75" s="25" t="str">
        <f ca="1">IFERROR(__xludf.DUMMYFUNCTION("""COMPUTED_VALUE"""),"MUNICIPALIDAD DISTRITAL DE MILPUC")</f>
        <v>MUNICIPALIDAD DISTRITAL DE MILPUC</v>
      </c>
      <c r="D75" s="25" t="str">
        <f ca="1">IFERROR(__xludf.DUMMYFUNCTION("""COMPUTED_VALUE"""),"SAN MARTÍN")</f>
        <v>SAN MARTÍN</v>
      </c>
      <c r="E75" s="25" t="str">
        <f ca="1">IFERROR(__xludf.DUMMYFUNCTION("""COMPUTED_VALUE"""),"AMAZONAS")</f>
        <v>AMAZONAS</v>
      </c>
      <c r="F75" s="25" t="str">
        <f ca="1">IFERROR(__xludf.DUMMYFUNCTION("""COMPUTED_VALUE"""),"RODRIGUEZ DE MENDOZA")</f>
        <v>RODRIGUEZ DE MENDOZA</v>
      </c>
      <c r="G75" s="25" t="str">
        <f ca="1">IFERROR(__xludf.DUMMYFUNCTION("""COMPUTED_VALUE"""),"MILPUC")</f>
        <v>MILPUC</v>
      </c>
      <c r="H75" s="25" t="str">
        <f ca="1">IFERROR(__xludf.DUMMYFUNCTION("""COMPUTED_VALUE"""),"RURAL")</f>
        <v>RURAL</v>
      </c>
      <c r="I75" s="25" t="str">
        <f ca="1">IFERROR(__xludf.DUMMYFUNCTION("""COMPUTED_VALUE"""),"Prioridad 5")</f>
        <v>Prioridad 5</v>
      </c>
      <c r="J75" s="42" t="s">
        <v>260</v>
      </c>
    </row>
    <row r="76" spans="1:10">
      <c r="A76" s="41">
        <f ca="1">IFERROR(__xludf.DUMMYFUNCTION("""COMPUTED_VALUE"""),43188)</f>
        <v>43188</v>
      </c>
      <c r="B76" s="25" t="str">
        <f ca="1">IFERROR(__xludf.DUMMYFUNCTION("""COMPUTED_VALUE"""),"MUNICIPALIDAD DISTRITAL")</f>
        <v>MUNICIPALIDAD DISTRITAL</v>
      </c>
      <c r="C76" s="25" t="str">
        <f ca="1">IFERROR(__xludf.DUMMYFUNCTION("""COMPUTED_VALUE"""),"MUNICIPALIDAD DISTRITAL DE OMIA")</f>
        <v>MUNICIPALIDAD DISTRITAL DE OMIA</v>
      </c>
      <c r="D76" s="25" t="str">
        <f ca="1">IFERROR(__xludf.DUMMYFUNCTION("""COMPUTED_VALUE"""),"SAN MARTÍN")</f>
        <v>SAN MARTÍN</v>
      </c>
      <c r="E76" s="25" t="str">
        <f ca="1">IFERROR(__xludf.DUMMYFUNCTION("""COMPUTED_VALUE"""),"AMAZONAS")</f>
        <v>AMAZONAS</v>
      </c>
      <c r="F76" s="25" t="str">
        <f ca="1">IFERROR(__xludf.DUMMYFUNCTION("""COMPUTED_VALUE"""),"RODRIGUEZ DE MENDOZA")</f>
        <v>RODRIGUEZ DE MENDOZA</v>
      </c>
      <c r="G76" s="25" t="str">
        <f ca="1">IFERROR(__xludf.DUMMYFUNCTION("""COMPUTED_VALUE"""),"OMIA")</f>
        <v>OMIA</v>
      </c>
      <c r="H76" s="25" t="str">
        <f ca="1">IFERROR(__xludf.DUMMYFUNCTION("""COMPUTED_VALUE"""),"RURAL")</f>
        <v>RURAL</v>
      </c>
      <c r="I76" s="25" t="str">
        <f ca="1">IFERROR(__xludf.DUMMYFUNCTION("""COMPUTED_VALUE"""),"Prioridad 2")</f>
        <v>Prioridad 2</v>
      </c>
      <c r="J76" s="42" t="s">
        <v>260</v>
      </c>
    </row>
    <row r="77" spans="1:10">
      <c r="A77" s="41">
        <f ca="1">IFERROR(__xludf.DUMMYFUNCTION("""COMPUTED_VALUE"""),43189)</f>
        <v>43189</v>
      </c>
      <c r="B77" s="25" t="str">
        <f ca="1">IFERROR(__xludf.DUMMYFUNCTION("""COMPUTED_VALUE"""),"MUNICIPALIDAD DISTRITAL")</f>
        <v>MUNICIPALIDAD DISTRITAL</v>
      </c>
      <c r="C77" s="25" t="str">
        <f ca="1">IFERROR(__xludf.DUMMYFUNCTION("""COMPUTED_VALUE"""),"MUNICIPALIDAD DISTRITAL DE SANTA ROSA EN RODRIGUEZ DE MENDOZA")</f>
        <v>MUNICIPALIDAD DISTRITAL DE SANTA ROSA EN RODRIGUEZ DE MENDOZA</v>
      </c>
      <c r="D77" s="25" t="str">
        <f ca="1">IFERROR(__xludf.DUMMYFUNCTION("""COMPUTED_VALUE"""),"SAN MARTÍN")</f>
        <v>SAN MARTÍN</v>
      </c>
      <c r="E77" s="25" t="str">
        <f ca="1">IFERROR(__xludf.DUMMYFUNCTION("""COMPUTED_VALUE"""),"AMAZONAS")</f>
        <v>AMAZONAS</v>
      </c>
      <c r="F77" s="25" t="str">
        <f ca="1">IFERROR(__xludf.DUMMYFUNCTION("""COMPUTED_VALUE"""),"RODRIGUEZ DE MENDOZA")</f>
        <v>RODRIGUEZ DE MENDOZA</v>
      </c>
      <c r="G77" s="25" t="str">
        <f ca="1">IFERROR(__xludf.DUMMYFUNCTION("""COMPUTED_VALUE"""),"SANTA ROSA")</f>
        <v>SANTA ROSA</v>
      </c>
      <c r="H77" s="25" t="str">
        <f ca="1">IFERROR(__xludf.DUMMYFUNCTION("""COMPUTED_VALUE"""),"RURAL")</f>
        <v>RURAL</v>
      </c>
      <c r="I77" s="25" t="str">
        <f ca="1">IFERROR(__xludf.DUMMYFUNCTION("""COMPUTED_VALUE"""),"Prioridad 2")</f>
        <v>Prioridad 2</v>
      </c>
      <c r="J77" s="42" t="s">
        <v>260</v>
      </c>
    </row>
    <row r="78" spans="1:10">
      <c r="A78" s="41">
        <f ca="1">IFERROR(__xludf.DUMMYFUNCTION("""COMPUTED_VALUE"""),43221)</f>
        <v>43221</v>
      </c>
      <c r="B78" s="25" t="str">
        <f ca="1">IFERROR(__xludf.DUMMYFUNCTION("""COMPUTED_VALUE"""),"MUNICIPALIDAD DISTRITAL")</f>
        <v>MUNICIPALIDAD DISTRITAL</v>
      </c>
      <c r="C78" s="25" t="str">
        <f ca="1">IFERROR(__xludf.DUMMYFUNCTION("""COMPUTED_VALUE"""),"MUNICIPALIDAD DISTRITAL DE TOTORA")</f>
        <v>MUNICIPALIDAD DISTRITAL DE TOTORA</v>
      </c>
      <c r="D78" s="25" t="str">
        <f ca="1">IFERROR(__xludf.DUMMYFUNCTION("""COMPUTED_VALUE"""),"SAN MARTÍN")</f>
        <v>SAN MARTÍN</v>
      </c>
      <c r="E78" s="25" t="str">
        <f ca="1">IFERROR(__xludf.DUMMYFUNCTION("""COMPUTED_VALUE"""),"AMAZONAS")</f>
        <v>AMAZONAS</v>
      </c>
      <c r="F78" s="25" t="str">
        <f ca="1">IFERROR(__xludf.DUMMYFUNCTION("""COMPUTED_VALUE"""),"RODRIGUEZ DE MENDOZA")</f>
        <v>RODRIGUEZ DE MENDOZA</v>
      </c>
      <c r="G78" s="25" t="str">
        <f ca="1">IFERROR(__xludf.DUMMYFUNCTION("""COMPUTED_VALUE"""),"TOTORA")</f>
        <v>TOTORA</v>
      </c>
      <c r="H78" s="25" t="str">
        <f ca="1">IFERROR(__xludf.DUMMYFUNCTION("""COMPUTED_VALUE"""),"RURAL")</f>
        <v>RURAL</v>
      </c>
      <c r="I78" s="25" t="str">
        <f ca="1">IFERROR(__xludf.DUMMYFUNCTION("""COMPUTED_VALUE"""),"Prioridad 5")</f>
        <v>Prioridad 5</v>
      </c>
      <c r="J78" s="42" t="s">
        <v>260</v>
      </c>
    </row>
    <row r="79" spans="1:10">
      <c r="A79" s="41">
        <f ca="1">IFERROR(__xludf.DUMMYFUNCTION("""COMPUTED_VALUE"""),43101)</f>
        <v>43101</v>
      </c>
      <c r="B79" s="25" t="str">
        <f ca="1">IFERROR(__xludf.DUMMYFUNCTION("""COMPUTED_VALUE"""),"MUNICIPALIDAD DISTRITAL")</f>
        <v>MUNICIPALIDAD DISTRITAL</v>
      </c>
      <c r="C79" s="25" t="str">
        <f ca="1">IFERROR(__xludf.DUMMYFUNCTION("""COMPUTED_VALUE"""),"MUNICIPALIDAD DISTRITAL DE VISTA ALEGRE EN RODRIGUEZ DE MENDOZA")</f>
        <v>MUNICIPALIDAD DISTRITAL DE VISTA ALEGRE EN RODRIGUEZ DE MENDOZA</v>
      </c>
      <c r="D79" s="25" t="str">
        <f ca="1">IFERROR(__xludf.DUMMYFUNCTION("""COMPUTED_VALUE"""),"SAN MARTÍN")</f>
        <v>SAN MARTÍN</v>
      </c>
      <c r="E79" s="25" t="str">
        <f ca="1">IFERROR(__xludf.DUMMYFUNCTION("""COMPUTED_VALUE"""),"AMAZONAS")</f>
        <v>AMAZONAS</v>
      </c>
      <c r="F79" s="25" t="str">
        <f ca="1">IFERROR(__xludf.DUMMYFUNCTION("""COMPUTED_VALUE"""),"RODRIGUEZ DE MENDOZA")</f>
        <v>RODRIGUEZ DE MENDOZA</v>
      </c>
      <c r="G79" s="25" t="str">
        <f ca="1">IFERROR(__xludf.DUMMYFUNCTION("""COMPUTED_VALUE"""),"VISTA ALEGRE")</f>
        <v>VISTA ALEGRE</v>
      </c>
      <c r="H79" s="25" t="str">
        <f ca="1">IFERROR(__xludf.DUMMYFUNCTION("""COMPUTED_VALUE"""),"RURAL")</f>
        <v>RURAL</v>
      </c>
      <c r="I79" s="25" t="str">
        <f ca="1">IFERROR(__xludf.DUMMYFUNCTION("""COMPUTED_VALUE"""),"Prioridad 5")</f>
        <v>Prioridad 5</v>
      </c>
      <c r="J79" s="42" t="s">
        <v>260</v>
      </c>
    </row>
    <row r="80" spans="1:10">
      <c r="A80" s="41">
        <f ca="1">IFERROR(__xludf.DUMMYFUNCTION("""COMPUTED_VALUE"""),43381)</f>
        <v>43381</v>
      </c>
      <c r="B80" s="25" t="str">
        <f ca="1">IFERROR(__xludf.DUMMYFUNCTION("""COMPUTED_VALUE"""),"MUNICIPALIDAD PROVINCIAL")</f>
        <v>MUNICIPALIDAD PROVINCIAL</v>
      </c>
      <c r="C80" s="25" t="str">
        <f ca="1">IFERROR(__xludf.DUMMYFUNCTION("""COMPUTED_VALUE"""),"MUNICIPALIDAD PROVINCIAL DE UTCUBAMBA")</f>
        <v>MUNICIPALIDAD PROVINCIAL DE UTCUBAMBA</v>
      </c>
      <c r="D80" s="25" t="str">
        <f ca="1">IFERROR(__xludf.DUMMYFUNCTION("""COMPUTED_VALUE"""),"LAMBAYEQUE")</f>
        <v>LAMBAYEQUE</v>
      </c>
      <c r="E80" s="25" t="str">
        <f ca="1">IFERROR(__xludf.DUMMYFUNCTION("""COMPUTED_VALUE"""),"AMAZONAS")</f>
        <v>AMAZONAS</v>
      </c>
      <c r="F80" s="25" t="str">
        <f ca="1">IFERROR(__xludf.DUMMYFUNCTION("""COMPUTED_VALUE"""),"UTCUBAMBA")</f>
        <v>UTCUBAMBA</v>
      </c>
      <c r="G80" s="25" t="str">
        <f ca="1">IFERROR(__xludf.DUMMYFUNCTION("""COMPUTED_VALUE"""),"BAGUA GRANDE")</f>
        <v>BAGUA GRANDE</v>
      </c>
      <c r="H80" s="25" t="str">
        <f ca="1">IFERROR(__xludf.DUMMYFUNCTION("""COMPUTED_VALUE"""),"URBANO")</f>
        <v>URBANO</v>
      </c>
      <c r="I80" s="25" t="str">
        <f ca="1">IFERROR(__xludf.DUMMYFUNCTION("""COMPUTED_VALUE"""),"Prioridad 1")</f>
        <v>Prioridad 1</v>
      </c>
      <c r="J80" s="42" t="s">
        <v>260</v>
      </c>
    </row>
    <row r="81" spans="1:10">
      <c r="A81" s="41">
        <f ca="1">IFERROR(__xludf.DUMMYFUNCTION("""COMPUTED_VALUE"""),43405)</f>
        <v>43405</v>
      </c>
      <c r="B81" s="25" t="str">
        <f ca="1">IFERROR(__xludf.DUMMYFUNCTION("""COMPUTED_VALUE"""),"MUNICIPALIDAD DISTRITAL")</f>
        <v>MUNICIPALIDAD DISTRITAL</v>
      </c>
      <c r="C81" s="25" t="str">
        <f ca="1">IFERROR(__xludf.DUMMYFUNCTION("""COMPUTED_VALUE"""),"MUNICIPALIDAD DISTRITAL DE CUMBA")</f>
        <v>MUNICIPALIDAD DISTRITAL DE CUMBA</v>
      </c>
      <c r="D81" s="25" t="str">
        <f ca="1">IFERROR(__xludf.DUMMYFUNCTION("""COMPUTED_VALUE"""),"LAMBAYEQUE")</f>
        <v>LAMBAYEQUE</v>
      </c>
      <c r="E81" s="25" t="str">
        <f ca="1">IFERROR(__xludf.DUMMYFUNCTION("""COMPUTED_VALUE"""),"AMAZONAS")</f>
        <v>AMAZONAS</v>
      </c>
      <c r="F81" s="25" t="str">
        <f ca="1">IFERROR(__xludf.DUMMYFUNCTION("""COMPUTED_VALUE"""),"UTCUBAMBA")</f>
        <v>UTCUBAMBA</v>
      </c>
      <c r="G81" s="25" t="str">
        <f ca="1">IFERROR(__xludf.DUMMYFUNCTION("""COMPUTED_VALUE"""),"CUMBA")</f>
        <v>CUMBA</v>
      </c>
      <c r="H81" s="25" t="str">
        <f ca="1">IFERROR(__xludf.DUMMYFUNCTION("""COMPUTED_VALUE"""),"RURAL")</f>
        <v>RURAL</v>
      </c>
      <c r="I81" s="25" t="str">
        <f ca="1">IFERROR(__xludf.DUMMYFUNCTION("""COMPUTED_VALUE"""),"Prioridad 4")</f>
        <v>Prioridad 4</v>
      </c>
      <c r="J81" s="42" t="s">
        <v>260</v>
      </c>
    </row>
    <row r="82" spans="1:10">
      <c r="A82" s="41">
        <f ca="1">IFERROR(__xludf.DUMMYFUNCTION("""COMPUTED_VALUE"""),43406)</f>
        <v>43406</v>
      </c>
      <c r="B82" s="25" t="str">
        <f ca="1">IFERROR(__xludf.DUMMYFUNCTION("""COMPUTED_VALUE"""),"MUNICIPALIDAD DISTRITAL")</f>
        <v>MUNICIPALIDAD DISTRITAL</v>
      </c>
      <c r="C82" s="25" t="str">
        <f ca="1">IFERROR(__xludf.DUMMYFUNCTION("""COMPUTED_VALUE"""),"MUNICIPALIDAD DISTRITAL DE EL MILAGRO")</f>
        <v>MUNICIPALIDAD DISTRITAL DE EL MILAGRO</v>
      </c>
      <c r="D82" s="25" t="str">
        <f ca="1">IFERROR(__xludf.DUMMYFUNCTION("""COMPUTED_VALUE"""),"LAMBAYEQUE")</f>
        <v>LAMBAYEQUE</v>
      </c>
      <c r="E82" s="25" t="str">
        <f ca="1">IFERROR(__xludf.DUMMYFUNCTION("""COMPUTED_VALUE"""),"AMAZONAS")</f>
        <v>AMAZONAS</v>
      </c>
      <c r="F82" s="25" t="str">
        <f ca="1">IFERROR(__xludf.DUMMYFUNCTION("""COMPUTED_VALUE"""),"UTCUBAMBA")</f>
        <v>UTCUBAMBA</v>
      </c>
      <c r="G82" s="25" t="str">
        <f ca="1">IFERROR(__xludf.DUMMYFUNCTION("""COMPUTED_VALUE"""),"EL MILAGRO")</f>
        <v>EL MILAGRO</v>
      </c>
      <c r="H82" s="25" t="str">
        <f ca="1">IFERROR(__xludf.DUMMYFUNCTION("""COMPUTED_VALUE"""),"RURAL")</f>
        <v>RURAL</v>
      </c>
      <c r="I82" s="25" t="str">
        <f ca="1">IFERROR(__xludf.DUMMYFUNCTION("""COMPUTED_VALUE"""),"Prioridad 4")</f>
        <v>Prioridad 4</v>
      </c>
      <c r="J82" s="42" t="s">
        <v>260</v>
      </c>
    </row>
    <row r="83" spans="1:10">
      <c r="A83" s="41">
        <f ca="1">IFERROR(__xludf.DUMMYFUNCTION("""COMPUTED_VALUE"""),43458)</f>
        <v>43458</v>
      </c>
      <c r="B83" s="25" t="str">
        <f ca="1">IFERROR(__xludf.DUMMYFUNCTION("""COMPUTED_VALUE"""),"MUNICIPALIDAD DISTRITAL")</f>
        <v>MUNICIPALIDAD DISTRITAL</v>
      </c>
      <c r="C83" s="25" t="str">
        <f ca="1">IFERROR(__xludf.DUMMYFUNCTION("""COMPUTED_VALUE"""),"MUNICIPALIDAD DISTRITAL DE LONYA GRANDE")</f>
        <v>MUNICIPALIDAD DISTRITAL DE LONYA GRANDE</v>
      </c>
      <c r="D83" s="25" t="str">
        <f ca="1">IFERROR(__xludf.DUMMYFUNCTION("""COMPUTED_VALUE"""),"LAMBAYEQUE")</f>
        <v>LAMBAYEQUE</v>
      </c>
      <c r="E83" s="25" t="str">
        <f ca="1">IFERROR(__xludf.DUMMYFUNCTION("""COMPUTED_VALUE"""),"AMAZONAS")</f>
        <v>AMAZONAS</v>
      </c>
      <c r="F83" s="25" t="str">
        <f ca="1">IFERROR(__xludf.DUMMYFUNCTION("""COMPUTED_VALUE"""),"UTCUBAMBA")</f>
        <v>UTCUBAMBA</v>
      </c>
      <c r="G83" s="25" t="str">
        <f ca="1">IFERROR(__xludf.DUMMYFUNCTION("""COMPUTED_VALUE"""),"LONYA GRANDE")</f>
        <v>LONYA GRANDE</v>
      </c>
      <c r="H83" s="25" t="str">
        <f ca="1">IFERROR(__xludf.DUMMYFUNCTION("""COMPUTED_VALUE"""),"RURAL")</f>
        <v>RURAL</v>
      </c>
      <c r="I83" s="25" t="str">
        <f ca="1">IFERROR(__xludf.DUMMYFUNCTION("""COMPUTED_VALUE"""),"Prioridad 2")</f>
        <v>Prioridad 2</v>
      </c>
      <c r="J83" s="42" t="s">
        <v>260</v>
      </c>
    </row>
    <row r="84" spans="1:10">
      <c r="A84" s="41">
        <f ca="1">IFERROR(__xludf.DUMMYFUNCTION("""COMPUTED_VALUE"""),43459)</f>
        <v>43459</v>
      </c>
      <c r="B84" s="25" t="str">
        <f ca="1">IFERROR(__xludf.DUMMYFUNCTION("""COMPUTED_VALUE"""),"MUNICIPALIDAD DISTRITAL")</f>
        <v>MUNICIPALIDAD DISTRITAL</v>
      </c>
      <c r="C84" s="25" t="str">
        <f ca="1">IFERROR(__xludf.DUMMYFUNCTION("""COMPUTED_VALUE"""),"MUNICIPALIDAD DISTRITAL DE CAJARURO")</f>
        <v>MUNICIPALIDAD DISTRITAL DE CAJARURO</v>
      </c>
      <c r="D84" s="25" t="str">
        <f ca="1">IFERROR(__xludf.DUMMYFUNCTION("""COMPUTED_VALUE"""),"LAMBAYEQUE")</f>
        <v>LAMBAYEQUE</v>
      </c>
      <c r="E84" s="25" t="str">
        <f ca="1">IFERROR(__xludf.DUMMYFUNCTION("""COMPUTED_VALUE"""),"AMAZONAS")</f>
        <v>AMAZONAS</v>
      </c>
      <c r="F84" s="25" t="str">
        <f ca="1">IFERROR(__xludf.DUMMYFUNCTION("""COMPUTED_VALUE"""),"UTCUBAMBA")</f>
        <v>UTCUBAMBA</v>
      </c>
      <c r="G84" s="25" t="str">
        <f ca="1">IFERROR(__xludf.DUMMYFUNCTION("""COMPUTED_VALUE"""),"CAJARURO")</f>
        <v>CAJARURO</v>
      </c>
      <c r="H84" s="25" t="str">
        <f ca="1">IFERROR(__xludf.DUMMYFUNCTION("""COMPUTED_VALUE"""),"RURAL")</f>
        <v>RURAL</v>
      </c>
      <c r="I84" s="25" t="str">
        <f ca="1">IFERROR(__xludf.DUMMYFUNCTION("""COMPUTED_VALUE"""),"Prioridad 5")</f>
        <v>Prioridad 5</v>
      </c>
      <c r="J84" s="42" t="s">
        <v>260</v>
      </c>
    </row>
    <row r="85" spans="1:10">
      <c r="A85" s="41">
        <f ca="1">IFERROR(__xludf.DUMMYFUNCTION("""COMPUTED_VALUE"""),43466)</f>
        <v>43466</v>
      </c>
      <c r="B85" s="25" t="str">
        <f ca="1">IFERROR(__xludf.DUMMYFUNCTION("""COMPUTED_VALUE"""),"MUNICIPALIDAD DISTRITAL")</f>
        <v>MUNICIPALIDAD DISTRITAL</v>
      </c>
      <c r="C85" s="25" t="str">
        <f ca="1">IFERROR(__xludf.DUMMYFUNCTION("""COMPUTED_VALUE"""),"MUNICIPALIDAD DISTRITAL DE JAMALCA")</f>
        <v>MUNICIPALIDAD DISTRITAL DE JAMALCA</v>
      </c>
      <c r="D85" s="25" t="str">
        <f ca="1">IFERROR(__xludf.DUMMYFUNCTION("""COMPUTED_VALUE"""),"LAMBAYEQUE")</f>
        <v>LAMBAYEQUE</v>
      </c>
      <c r="E85" s="25" t="str">
        <f ca="1">IFERROR(__xludf.DUMMYFUNCTION("""COMPUTED_VALUE"""),"AMAZONAS")</f>
        <v>AMAZONAS</v>
      </c>
      <c r="F85" s="25" t="str">
        <f ca="1">IFERROR(__xludf.DUMMYFUNCTION("""COMPUTED_VALUE"""),"UTCUBAMBA")</f>
        <v>UTCUBAMBA</v>
      </c>
      <c r="G85" s="25" t="str">
        <f ca="1">IFERROR(__xludf.DUMMYFUNCTION("""COMPUTED_VALUE"""),"JAMALCA")</f>
        <v>JAMALCA</v>
      </c>
      <c r="H85" s="25" t="str">
        <f ca="1">IFERROR(__xludf.DUMMYFUNCTION("""COMPUTED_VALUE"""),"RURAL")</f>
        <v>RURAL</v>
      </c>
      <c r="I85" s="25" t="str">
        <f ca="1">IFERROR(__xludf.DUMMYFUNCTION("""COMPUTED_VALUE"""),"Prioridad 5")</f>
        <v>Prioridad 5</v>
      </c>
      <c r="J85" s="42" t="s">
        <v>260</v>
      </c>
    </row>
    <row r="86" spans="1:10">
      <c r="A86" s="41">
        <f ca="1">IFERROR(__xludf.DUMMYFUNCTION("""COMPUTED_VALUE"""),43573)</f>
        <v>43573</v>
      </c>
      <c r="B86" s="25" t="str">
        <f ca="1">IFERROR(__xludf.DUMMYFUNCTION("""COMPUTED_VALUE"""),"MUNICIPALIDAD DISTRITAL")</f>
        <v>MUNICIPALIDAD DISTRITAL</v>
      </c>
      <c r="C86" s="25" t="str">
        <f ca="1">IFERROR(__xludf.DUMMYFUNCTION("""COMPUTED_VALUE"""),"MUNICIPALIDAD DISTRITAL DE YAMON")</f>
        <v>MUNICIPALIDAD DISTRITAL DE YAMON</v>
      </c>
      <c r="D86" s="25" t="str">
        <f ca="1">IFERROR(__xludf.DUMMYFUNCTION("""COMPUTED_VALUE"""),"LAMBAYEQUE")</f>
        <v>LAMBAYEQUE</v>
      </c>
      <c r="E86" s="25" t="str">
        <f ca="1">IFERROR(__xludf.DUMMYFUNCTION("""COMPUTED_VALUE"""),"AMAZONAS")</f>
        <v>AMAZONAS</v>
      </c>
      <c r="F86" s="25" t="str">
        <f ca="1">IFERROR(__xludf.DUMMYFUNCTION("""COMPUTED_VALUE"""),"UTCUBAMBA")</f>
        <v>UTCUBAMBA</v>
      </c>
      <c r="G86" s="25" t="str">
        <f ca="1">IFERROR(__xludf.DUMMYFUNCTION("""COMPUTED_VALUE"""),"YAMON")</f>
        <v>YAMON</v>
      </c>
      <c r="H86" s="25" t="str">
        <f ca="1">IFERROR(__xludf.DUMMYFUNCTION("""COMPUTED_VALUE"""),"RURAL")</f>
        <v>RURAL</v>
      </c>
      <c r="I86" s="25" t="str">
        <f ca="1">IFERROR(__xludf.DUMMYFUNCTION("""COMPUTED_VALUE"""),"Prioridad 5")</f>
        <v>Prioridad 5</v>
      </c>
      <c r="J86" s="42" t="s">
        <v>260</v>
      </c>
    </row>
    <row r="87" spans="1:10">
      <c r="A87" s="41">
        <f ca="1">IFERROR(__xludf.DUMMYFUNCTION("""COMPUTED_VALUE"""),43574)</f>
        <v>43574</v>
      </c>
      <c r="B87" s="25" t="str">
        <f ca="1">IFERROR(__xludf.DUMMYFUNCTION("""COMPUTED_VALUE"""),"MUNICIPALIDAD PROVINCIAL")</f>
        <v>MUNICIPALIDAD PROVINCIAL</v>
      </c>
      <c r="C87" s="25" t="str">
        <f ca="1">IFERROR(__xludf.DUMMYFUNCTION("""COMPUTED_VALUE"""),"MUNICIPALIDAD PROVINCIAL DE AIJA")</f>
        <v>MUNICIPALIDAD PROVINCIAL DE AIJA</v>
      </c>
      <c r="D87" s="25" t="str">
        <f ca="1">IFERROR(__xludf.DUMMYFUNCTION("""COMPUTED_VALUE"""),"SEDE CENTRAL")</f>
        <v>SEDE CENTRAL</v>
      </c>
      <c r="E87" s="25" t="str">
        <f ca="1">IFERROR(__xludf.DUMMYFUNCTION("""COMPUTED_VALUE"""),"ANCASH")</f>
        <v>ANCASH</v>
      </c>
      <c r="F87" s="25" t="str">
        <f ca="1">IFERROR(__xludf.DUMMYFUNCTION("""COMPUTED_VALUE"""),"AIJA")</f>
        <v>AIJA</v>
      </c>
      <c r="G87" s="25" t="str">
        <f ca="1">IFERROR(__xludf.DUMMYFUNCTION("""COMPUTED_VALUE"""),"AIJA")</f>
        <v>AIJA</v>
      </c>
      <c r="H87" s="25" t="str">
        <f ca="1">IFERROR(__xludf.DUMMYFUNCTION("""COMPUTED_VALUE"""),"RURAL")</f>
        <v>RURAL</v>
      </c>
      <c r="I87" s="25" t="str">
        <f ca="1">IFERROR(__xludf.DUMMYFUNCTION("""COMPUTED_VALUE"""),"Prioridad 2")</f>
        <v>Prioridad 2</v>
      </c>
      <c r="J87" s="43" t="s">
        <v>261</v>
      </c>
    </row>
    <row r="88" spans="1:10">
      <c r="A88" s="41">
        <f ca="1">IFERROR(__xludf.DUMMYFUNCTION("""COMPUTED_VALUE"""),43586)</f>
        <v>43586</v>
      </c>
      <c r="B88" s="25" t="str">
        <f ca="1">IFERROR(__xludf.DUMMYFUNCTION("""COMPUTED_VALUE"""),"MUNICIPALIDAD DISTRITAL")</f>
        <v>MUNICIPALIDAD DISTRITAL</v>
      </c>
      <c r="C88" s="25" t="str">
        <f ca="1">IFERROR(__xludf.DUMMYFUNCTION("""COMPUTED_VALUE"""),"MUNICIPALIDAD DISTRITAL DE CORIS")</f>
        <v>MUNICIPALIDAD DISTRITAL DE CORIS</v>
      </c>
      <c r="D88" s="25" t="str">
        <f ca="1">IFERROR(__xludf.DUMMYFUNCTION("""COMPUTED_VALUE"""),"SEDE CENTRAL")</f>
        <v>SEDE CENTRAL</v>
      </c>
      <c r="E88" s="25" t="str">
        <f ca="1">IFERROR(__xludf.DUMMYFUNCTION("""COMPUTED_VALUE"""),"ANCASH")</f>
        <v>ANCASH</v>
      </c>
      <c r="F88" s="25" t="str">
        <f ca="1">IFERROR(__xludf.DUMMYFUNCTION("""COMPUTED_VALUE"""),"AIJA")</f>
        <v>AIJA</v>
      </c>
      <c r="G88" s="25" t="str">
        <f ca="1">IFERROR(__xludf.DUMMYFUNCTION("""COMPUTED_VALUE"""),"CORIS")</f>
        <v>CORIS</v>
      </c>
      <c r="H88" s="25" t="str">
        <f ca="1">IFERROR(__xludf.DUMMYFUNCTION("""COMPUTED_VALUE"""),"RURAL")</f>
        <v>RURAL</v>
      </c>
      <c r="I88" s="25" t="str">
        <f ca="1">IFERROR(__xludf.DUMMYFUNCTION("""COMPUTED_VALUE"""),"Prioridad 3")</f>
        <v>Prioridad 3</v>
      </c>
      <c r="J88" s="43" t="s">
        <v>261</v>
      </c>
    </row>
    <row r="89" spans="1:10">
      <c r="A89" s="41">
        <f ca="1">IFERROR(__xludf.DUMMYFUNCTION("""COMPUTED_VALUE"""),43675)</f>
        <v>43675</v>
      </c>
      <c r="B89" s="25" t="str">
        <f ca="1">IFERROR(__xludf.DUMMYFUNCTION("""COMPUTED_VALUE"""),"MUNICIPALIDAD DISTRITAL")</f>
        <v>MUNICIPALIDAD DISTRITAL</v>
      </c>
      <c r="C89" s="25" t="str">
        <f ca="1">IFERROR(__xludf.DUMMYFUNCTION("""COMPUTED_VALUE"""),"MUNICIPALIDAD DISTRITAL DE HUACLLAN")</f>
        <v>MUNICIPALIDAD DISTRITAL DE HUACLLAN</v>
      </c>
      <c r="D89" s="25" t="str">
        <f ca="1">IFERROR(__xludf.DUMMYFUNCTION("""COMPUTED_VALUE"""),"SEDE CENTRAL")</f>
        <v>SEDE CENTRAL</v>
      </c>
      <c r="E89" s="25" t="str">
        <f ca="1">IFERROR(__xludf.DUMMYFUNCTION("""COMPUTED_VALUE"""),"ANCASH")</f>
        <v>ANCASH</v>
      </c>
      <c r="F89" s="25" t="str">
        <f ca="1">IFERROR(__xludf.DUMMYFUNCTION("""COMPUTED_VALUE"""),"AIJA")</f>
        <v>AIJA</v>
      </c>
      <c r="G89" s="25" t="str">
        <f ca="1">IFERROR(__xludf.DUMMYFUNCTION("""COMPUTED_VALUE"""),"HUACLLAN")</f>
        <v>HUACLLAN</v>
      </c>
      <c r="H89" s="25" t="str">
        <f ca="1">IFERROR(__xludf.DUMMYFUNCTION("""COMPUTED_VALUE"""),"RURAL")</f>
        <v>RURAL</v>
      </c>
      <c r="I89" s="25" t="str">
        <f ca="1">IFERROR(__xludf.DUMMYFUNCTION("""COMPUTED_VALUE"""),"Prioridad 5")</f>
        <v>Prioridad 5</v>
      </c>
      <c r="J89" s="43" t="s">
        <v>261</v>
      </c>
    </row>
    <row r="90" spans="1:10">
      <c r="A90" s="41">
        <f ca="1">IFERROR(__xludf.DUMMYFUNCTION("""COMPUTED_VALUE"""),43676)</f>
        <v>43676</v>
      </c>
      <c r="B90" s="25" t="str">
        <f ca="1">IFERROR(__xludf.DUMMYFUNCTION("""COMPUTED_VALUE"""),"MUNICIPALIDAD DISTRITAL")</f>
        <v>MUNICIPALIDAD DISTRITAL</v>
      </c>
      <c r="C90" s="25" t="str">
        <f ca="1">IFERROR(__xludf.DUMMYFUNCTION("""COMPUTED_VALUE"""),"MUNICIPALIDAD DISTRITAL DE LA MERCED EN AIJA")</f>
        <v>MUNICIPALIDAD DISTRITAL DE LA MERCED EN AIJA</v>
      </c>
      <c r="D90" s="25" t="str">
        <f ca="1">IFERROR(__xludf.DUMMYFUNCTION("""COMPUTED_VALUE"""),"SEDE CENTRAL")</f>
        <v>SEDE CENTRAL</v>
      </c>
      <c r="E90" s="25" t="str">
        <f ca="1">IFERROR(__xludf.DUMMYFUNCTION("""COMPUTED_VALUE"""),"ANCASH")</f>
        <v>ANCASH</v>
      </c>
      <c r="F90" s="25" t="str">
        <f ca="1">IFERROR(__xludf.DUMMYFUNCTION("""COMPUTED_VALUE"""),"AIJA")</f>
        <v>AIJA</v>
      </c>
      <c r="G90" s="25" t="str">
        <f ca="1">IFERROR(__xludf.DUMMYFUNCTION("""COMPUTED_VALUE"""),"LA MERCED")</f>
        <v>LA MERCED</v>
      </c>
      <c r="H90" s="25" t="str">
        <f ca="1">IFERROR(__xludf.DUMMYFUNCTION("""COMPUTED_VALUE"""),"RURAL")</f>
        <v>RURAL</v>
      </c>
      <c r="I90" s="25" t="str">
        <f ca="1">IFERROR(__xludf.DUMMYFUNCTION("""COMPUTED_VALUE"""),"Prioridad 3")</f>
        <v>Prioridad 3</v>
      </c>
      <c r="J90" s="43" t="s">
        <v>261</v>
      </c>
    </row>
    <row r="91" spans="1:10">
      <c r="A91" s="41">
        <f ca="1">IFERROR(__xludf.DUMMYFUNCTION("""COMPUTED_VALUE"""),43706)</f>
        <v>43706</v>
      </c>
      <c r="B91" s="25" t="str">
        <f ca="1">IFERROR(__xludf.DUMMYFUNCTION("""COMPUTED_VALUE"""),"MUNICIPALIDAD DISTRITAL")</f>
        <v>MUNICIPALIDAD DISTRITAL</v>
      </c>
      <c r="C91" s="25" t="str">
        <f ca="1">IFERROR(__xludf.DUMMYFUNCTION("""COMPUTED_VALUE"""),"MUNICIPALIDAD DISTRITAL DE SUCCHA")</f>
        <v>MUNICIPALIDAD DISTRITAL DE SUCCHA</v>
      </c>
      <c r="D91" s="25" t="str">
        <f ca="1">IFERROR(__xludf.DUMMYFUNCTION("""COMPUTED_VALUE"""),"SEDE CENTRAL")</f>
        <v>SEDE CENTRAL</v>
      </c>
      <c r="E91" s="25" t="str">
        <f ca="1">IFERROR(__xludf.DUMMYFUNCTION("""COMPUTED_VALUE"""),"ANCASH")</f>
        <v>ANCASH</v>
      </c>
      <c r="F91" s="25" t="str">
        <f ca="1">IFERROR(__xludf.DUMMYFUNCTION("""COMPUTED_VALUE"""),"AIJA")</f>
        <v>AIJA</v>
      </c>
      <c r="G91" s="25" t="str">
        <f ca="1">IFERROR(__xludf.DUMMYFUNCTION("""COMPUTED_VALUE"""),"SUCCHA")</f>
        <v>SUCCHA</v>
      </c>
      <c r="H91" s="25" t="str">
        <f ca="1">IFERROR(__xludf.DUMMYFUNCTION("""COMPUTED_VALUE"""),"RURAL")</f>
        <v>RURAL</v>
      </c>
      <c r="I91" s="25" t="str">
        <f ca="1">IFERROR(__xludf.DUMMYFUNCTION("""COMPUTED_VALUE"""),"Prioridad 5")</f>
        <v>Prioridad 5</v>
      </c>
      <c r="J91" s="43" t="s">
        <v>261</v>
      </c>
    </row>
    <row r="92" spans="1:10">
      <c r="A92" s="41">
        <f ca="1">IFERROR(__xludf.DUMMYFUNCTION("""COMPUTED_VALUE"""),43707)</f>
        <v>43707</v>
      </c>
      <c r="B92" s="25" t="str">
        <f ca="1">IFERROR(__xludf.DUMMYFUNCTION("""COMPUTED_VALUE"""),"MUNICIPALIDAD PROVINCIAL")</f>
        <v>MUNICIPALIDAD PROVINCIAL</v>
      </c>
      <c r="C92" s="25" t="str">
        <f ca="1">IFERROR(__xludf.DUMMYFUNCTION("""COMPUTED_VALUE"""),"MUNICIPALIDAD PROVINCIAL DE ANTONIO RAYMONDI")</f>
        <v>MUNICIPALIDAD PROVINCIAL DE ANTONIO RAYMONDI</v>
      </c>
      <c r="D92" s="25" t="str">
        <f ca="1">IFERROR(__xludf.DUMMYFUNCTION("""COMPUTED_VALUE"""),"SEDE CENTRAL")</f>
        <v>SEDE CENTRAL</v>
      </c>
      <c r="E92" s="25" t="str">
        <f ca="1">IFERROR(__xludf.DUMMYFUNCTION("""COMPUTED_VALUE"""),"ANCASH")</f>
        <v>ANCASH</v>
      </c>
      <c r="F92" s="25" t="str">
        <f ca="1">IFERROR(__xludf.DUMMYFUNCTION("""COMPUTED_VALUE"""),"ANTONIO RAYMONDI")</f>
        <v>ANTONIO RAYMONDI</v>
      </c>
      <c r="G92" s="25" t="str">
        <f ca="1">IFERROR(__xludf.DUMMYFUNCTION("""COMPUTED_VALUE"""),"LLAMELLIN")</f>
        <v>LLAMELLIN</v>
      </c>
      <c r="H92" s="25" t="str">
        <f ca="1">IFERROR(__xludf.DUMMYFUNCTION("""COMPUTED_VALUE"""),"RURAL")</f>
        <v>RURAL</v>
      </c>
      <c r="I92" s="25" t="str">
        <f ca="1">IFERROR(__xludf.DUMMYFUNCTION("""COMPUTED_VALUE"""),"Prioridad 2")</f>
        <v>Prioridad 2</v>
      </c>
      <c r="J92" s="43" t="s">
        <v>261</v>
      </c>
    </row>
    <row r="93" spans="1:10">
      <c r="A93" s="41">
        <f ca="1">IFERROR(__xludf.DUMMYFUNCTION("""COMPUTED_VALUE"""),43746)</f>
        <v>43746</v>
      </c>
      <c r="B93" s="25" t="str">
        <f ca="1">IFERROR(__xludf.DUMMYFUNCTION("""COMPUTED_VALUE"""),"MUNICIPALIDAD DISTRITAL")</f>
        <v>MUNICIPALIDAD DISTRITAL</v>
      </c>
      <c r="C93" s="25" t="str">
        <f ca="1">IFERROR(__xludf.DUMMYFUNCTION("""COMPUTED_VALUE"""),"MUNICIPALIDAD DISTRITAL DE ACZO")</f>
        <v>MUNICIPALIDAD DISTRITAL DE ACZO</v>
      </c>
      <c r="D93" s="25" t="str">
        <f ca="1">IFERROR(__xludf.DUMMYFUNCTION("""COMPUTED_VALUE"""),"SEDE CENTRAL")</f>
        <v>SEDE CENTRAL</v>
      </c>
      <c r="E93" s="25" t="str">
        <f ca="1">IFERROR(__xludf.DUMMYFUNCTION("""COMPUTED_VALUE"""),"ANCASH")</f>
        <v>ANCASH</v>
      </c>
      <c r="F93" s="25" t="str">
        <f ca="1">IFERROR(__xludf.DUMMYFUNCTION("""COMPUTED_VALUE"""),"ANTONIO RAYMONDI")</f>
        <v>ANTONIO RAYMONDI</v>
      </c>
      <c r="G93" s="25" t="str">
        <f ca="1">IFERROR(__xludf.DUMMYFUNCTION("""COMPUTED_VALUE"""),"ACZO")</f>
        <v>ACZO</v>
      </c>
      <c r="H93" s="25" t="str">
        <f ca="1">IFERROR(__xludf.DUMMYFUNCTION("""COMPUTED_VALUE"""),"RURAL")</f>
        <v>RURAL</v>
      </c>
      <c r="I93" s="25" t="str">
        <f ca="1">IFERROR(__xludf.DUMMYFUNCTION("""COMPUTED_VALUE"""),"Prioridad 5")</f>
        <v>Prioridad 5</v>
      </c>
      <c r="J93" s="43" t="s">
        <v>261</v>
      </c>
    </row>
    <row r="94" spans="1:10">
      <c r="A94" s="41">
        <f ca="1">IFERROR(__xludf.DUMMYFUNCTION("""COMPUTED_VALUE"""),43769)</f>
        <v>43769</v>
      </c>
      <c r="B94" s="25" t="str">
        <f ca="1">IFERROR(__xludf.DUMMYFUNCTION("""COMPUTED_VALUE"""),"MUNICIPALIDAD DISTRITAL")</f>
        <v>MUNICIPALIDAD DISTRITAL</v>
      </c>
      <c r="C94" s="25" t="str">
        <f ca="1">IFERROR(__xludf.DUMMYFUNCTION("""COMPUTED_VALUE"""),"MUNICIPALIDAD DISTRITAL DE CHACCHO")</f>
        <v>MUNICIPALIDAD DISTRITAL DE CHACCHO</v>
      </c>
      <c r="D94" s="25" t="str">
        <f ca="1">IFERROR(__xludf.DUMMYFUNCTION("""COMPUTED_VALUE"""),"SEDE CENTRAL")</f>
        <v>SEDE CENTRAL</v>
      </c>
      <c r="E94" s="25" t="str">
        <f ca="1">IFERROR(__xludf.DUMMYFUNCTION("""COMPUTED_VALUE"""),"ANCASH")</f>
        <v>ANCASH</v>
      </c>
      <c r="F94" s="25" t="str">
        <f ca="1">IFERROR(__xludf.DUMMYFUNCTION("""COMPUTED_VALUE"""),"ANTONIO RAYMONDI")</f>
        <v>ANTONIO RAYMONDI</v>
      </c>
      <c r="G94" s="25" t="str">
        <f ca="1">IFERROR(__xludf.DUMMYFUNCTION("""COMPUTED_VALUE"""),"CHACCHO")</f>
        <v>CHACCHO</v>
      </c>
      <c r="H94" s="25" t="str">
        <f ca="1">IFERROR(__xludf.DUMMYFUNCTION("""COMPUTED_VALUE"""),"RURAL")</f>
        <v>RURAL</v>
      </c>
      <c r="I94" s="25" t="str">
        <f ca="1">IFERROR(__xludf.DUMMYFUNCTION("""COMPUTED_VALUE"""),"Prioridad 5")</f>
        <v>Prioridad 5</v>
      </c>
      <c r="J94" s="43" t="s">
        <v>261</v>
      </c>
    </row>
    <row r="95" spans="1:10">
      <c r="A95" s="41">
        <f ca="1">IFERROR(__xludf.DUMMYFUNCTION("""COMPUTED_VALUE"""),43770)</f>
        <v>43770</v>
      </c>
      <c r="B95" s="25" t="str">
        <f ca="1">IFERROR(__xludf.DUMMYFUNCTION("""COMPUTED_VALUE"""),"MUNICIPALIDAD DISTRITAL")</f>
        <v>MUNICIPALIDAD DISTRITAL</v>
      </c>
      <c r="C95" s="25" t="str">
        <f ca="1">IFERROR(__xludf.DUMMYFUNCTION("""COMPUTED_VALUE"""),"MUNICIPALIDAD DISTRITAL DE CHINGAS")</f>
        <v>MUNICIPALIDAD DISTRITAL DE CHINGAS</v>
      </c>
      <c r="D95" s="25" t="str">
        <f ca="1">IFERROR(__xludf.DUMMYFUNCTION("""COMPUTED_VALUE"""),"SEDE CENTRAL")</f>
        <v>SEDE CENTRAL</v>
      </c>
      <c r="E95" s="25" t="str">
        <f ca="1">IFERROR(__xludf.DUMMYFUNCTION("""COMPUTED_VALUE"""),"ANCASH")</f>
        <v>ANCASH</v>
      </c>
      <c r="F95" s="25" t="str">
        <f ca="1">IFERROR(__xludf.DUMMYFUNCTION("""COMPUTED_VALUE"""),"ANTONIO RAYMONDI")</f>
        <v>ANTONIO RAYMONDI</v>
      </c>
      <c r="G95" s="25" t="str">
        <f ca="1">IFERROR(__xludf.DUMMYFUNCTION("""COMPUTED_VALUE"""),"CHINGAS")</f>
        <v>CHINGAS</v>
      </c>
      <c r="H95" s="25" t="str">
        <f ca="1">IFERROR(__xludf.DUMMYFUNCTION("""COMPUTED_VALUE"""),"RURAL")</f>
        <v>RURAL</v>
      </c>
      <c r="I95" s="25" t="str">
        <f ca="1">IFERROR(__xludf.DUMMYFUNCTION("""COMPUTED_VALUE"""),"Prioridad 3")</f>
        <v>Prioridad 3</v>
      </c>
      <c r="J95" s="43" t="s">
        <v>261</v>
      </c>
    </row>
    <row r="96" spans="1:10">
      <c r="A96" s="41">
        <f ca="1">IFERROR(__xludf.DUMMYFUNCTION("""COMPUTED_VALUE"""),43824)</f>
        <v>43824</v>
      </c>
      <c r="B96" s="25" t="str">
        <f ca="1">IFERROR(__xludf.DUMMYFUNCTION("""COMPUTED_VALUE"""),"MUNICIPALIDAD DISTRITAL")</f>
        <v>MUNICIPALIDAD DISTRITAL</v>
      </c>
      <c r="C96" s="25" t="str">
        <f ca="1">IFERROR(__xludf.DUMMYFUNCTION("""COMPUTED_VALUE"""),"MUNICIPALIDAD DISTRITAL DE MIRGAS")</f>
        <v>MUNICIPALIDAD DISTRITAL DE MIRGAS</v>
      </c>
      <c r="D96" s="25" t="str">
        <f ca="1">IFERROR(__xludf.DUMMYFUNCTION("""COMPUTED_VALUE"""),"SEDE CENTRAL")</f>
        <v>SEDE CENTRAL</v>
      </c>
      <c r="E96" s="25" t="str">
        <f ca="1">IFERROR(__xludf.DUMMYFUNCTION("""COMPUTED_VALUE"""),"ANCASH")</f>
        <v>ANCASH</v>
      </c>
      <c r="F96" s="25" t="str">
        <f ca="1">IFERROR(__xludf.DUMMYFUNCTION("""COMPUTED_VALUE"""),"ANTONIO RAYMONDI")</f>
        <v>ANTONIO RAYMONDI</v>
      </c>
      <c r="G96" s="25" t="str">
        <f ca="1">IFERROR(__xludf.DUMMYFUNCTION("""COMPUTED_VALUE"""),"MIRGAS")</f>
        <v>MIRGAS</v>
      </c>
      <c r="H96" s="25" t="str">
        <f ca="1">IFERROR(__xludf.DUMMYFUNCTION("""COMPUTED_VALUE"""),"RURAL")</f>
        <v>RURAL</v>
      </c>
      <c r="I96" s="25" t="str">
        <f ca="1">IFERROR(__xludf.DUMMYFUNCTION("""COMPUTED_VALUE"""),"Prioridad 5")</f>
        <v>Prioridad 5</v>
      </c>
      <c r="J96" s="43" t="s">
        <v>261</v>
      </c>
    </row>
    <row r="97" spans="1:10">
      <c r="A97" s="41">
        <f ca="1">IFERROR(__xludf.DUMMYFUNCTION("""COMPUTED_VALUE"""),43831)</f>
        <v>43831</v>
      </c>
      <c r="B97" s="25" t="str">
        <f ca="1">IFERROR(__xludf.DUMMYFUNCTION("""COMPUTED_VALUE"""),"MUNICIPALIDAD DISTRITAL")</f>
        <v>MUNICIPALIDAD DISTRITAL</v>
      </c>
      <c r="C97" s="25" t="str">
        <f ca="1">IFERROR(__xludf.DUMMYFUNCTION("""COMPUTED_VALUE"""),"MUNICIPALIDAD DISTRITAL DE SAN JUAN DE RONTOY")</f>
        <v>MUNICIPALIDAD DISTRITAL DE SAN JUAN DE RONTOY</v>
      </c>
      <c r="D97" s="25" t="str">
        <f ca="1">IFERROR(__xludf.DUMMYFUNCTION("""COMPUTED_VALUE"""),"SEDE CENTRAL")</f>
        <v>SEDE CENTRAL</v>
      </c>
      <c r="E97" s="25" t="str">
        <f ca="1">IFERROR(__xludf.DUMMYFUNCTION("""COMPUTED_VALUE"""),"ANCASH")</f>
        <v>ANCASH</v>
      </c>
      <c r="F97" s="25" t="str">
        <f ca="1">IFERROR(__xludf.DUMMYFUNCTION("""COMPUTED_VALUE"""),"ANTONIO RAYMONDI")</f>
        <v>ANTONIO RAYMONDI</v>
      </c>
      <c r="G97" s="25" t="str">
        <f ca="1">IFERROR(__xludf.DUMMYFUNCTION("""COMPUTED_VALUE"""),"SAN JUAN DE RONTOY")</f>
        <v>SAN JUAN DE RONTOY</v>
      </c>
      <c r="H97" s="25" t="str">
        <f ca="1">IFERROR(__xludf.DUMMYFUNCTION("""COMPUTED_VALUE"""),"RURAL")</f>
        <v>RURAL</v>
      </c>
      <c r="I97" s="25" t="str">
        <f ca="1">IFERROR(__xludf.DUMMYFUNCTION("""COMPUTED_VALUE"""),"Prioridad 5")</f>
        <v>Prioridad 5</v>
      </c>
      <c r="J97" s="43" t="s">
        <v>261</v>
      </c>
    </row>
    <row r="98" spans="1:10">
      <c r="A98" s="44">
        <f ca="1">IFERROR(__xludf.DUMMYFUNCTION("""COMPUTED_VALUE"""),43906)</f>
        <v>43906</v>
      </c>
      <c r="B98" s="25" t="str">
        <f ca="1">IFERROR(__xludf.DUMMYFUNCTION("""COMPUTED_VALUE"""),"MUNICIPALIDAD PROVINCIAL")</f>
        <v>MUNICIPALIDAD PROVINCIAL</v>
      </c>
      <c r="C98" s="25" t="str">
        <f ca="1">IFERROR(__xludf.DUMMYFUNCTION("""COMPUTED_VALUE"""),"MUNICIPALIDAD PROVINCIAL DE ASUNCION")</f>
        <v>MUNICIPALIDAD PROVINCIAL DE ASUNCION</v>
      </c>
      <c r="D98" s="25" t="str">
        <f ca="1">IFERROR(__xludf.DUMMYFUNCTION("""COMPUTED_VALUE"""),"SEDE CENTRAL")</f>
        <v>SEDE CENTRAL</v>
      </c>
      <c r="E98" s="25" t="str">
        <f ca="1">IFERROR(__xludf.DUMMYFUNCTION("""COMPUTED_VALUE"""),"ANCASH")</f>
        <v>ANCASH</v>
      </c>
      <c r="F98" s="25" t="str">
        <f ca="1">IFERROR(__xludf.DUMMYFUNCTION("""COMPUTED_VALUE"""),"ASUNCION")</f>
        <v>ASUNCION</v>
      </c>
      <c r="G98" s="25" t="str">
        <f ca="1">IFERROR(__xludf.DUMMYFUNCTION("""COMPUTED_VALUE"""),"CHACAS")</f>
        <v>CHACAS</v>
      </c>
      <c r="H98" s="25" t="str">
        <f ca="1">IFERROR(__xludf.DUMMYFUNCTION("""COMPUTED_VALUE"""),"RURAL")</f>
        <v>RURAL</v>
      </c>
      <c r="I98" s="25" t="str">
        <f ca="1">IFERROR(__xludf.DUMMYFUNCTION("""COMPUTED_VALUE"""),"Prioridad 2")</f>
        <v>Prioridad 2</v>
      </c>
      <c r="J98" s="43" t="s">
        <v>261</v>
      </c>
    </row>
    <row r="99" spans="1:10">
      <c r="A99" s="44">
        <f ca="1">IFERROR(__xludf.DUMMYFUNCTION("""COMPUTED_VALUE"""),43907)</f>
        <v>43907</v>
      </c>
      <c r="B99" s="25" t="str">
        <f ca="1">IFERROR(__xludf.DUMMYFUNCTION("""COMPUTED_VALUE"""),"MUNICIPALIDAD DISTRITAL")</f>
        <v>MUNICIPALIDAD DISTRITAL</v>
      </c>
      <c r="C99" s="25" t="str">
        <f ca="1">IFERROR(__xludf.DUMMYFUNCTION("""COMPUTED_VALUE"""),"MUNICIPALIDAD DISTRITAL DE ACOCHACA")</f>
        <v>MUNICIPALIDAD DISTRITAL DE ACOCHACA</v>
      </c>
      <c r="D99" s="25" t="str">
        <f ca="1">IFERROR(__xludf.DUMMYFUNCTION("""COMPUTED_VALUE"""),"SEDE CENTRAL")</f>
        <v>SEDE CENTRAL</v>
      </c>
      <c r="E99" s="25" t="str">
        <f ca="1">IFERROR(__xludf.DUMMYFUNCTION("""COMPUTED_VALUE"""),"ANCASH")</f>
        <v>ANCASH</v>
      </c>
      <c r="F99" s="25" t="str">
        <f ca="1">IFERROR(__xludf.DUMMYFUNCTION("""COMPUTED_VALUE"""),"ASUNCION")</f>
        <v>ASUNCION</v>
      </c>
      <c r="G99" s="25" t="str">
        <f ca="1">IFERROR(__xludf.DUMMYFUNCTION("""COMPUTED_VALUE"""),"ACOCHACA")</f>
        <v>ACOCHACA</v>
      </c>
      <c r="H99" s="25" t="str">
        <f ca="1">IFERROR(__xludf.DUMMYFUNCTION("""COMPUTED_VALUE"""),"RURAL")</f>
        <v>RURAL</v>
      </c>
      <c r="I99" s="25" t="str">
        <f ca="1">IFERROR(__xludf.DUMMYFUNCTION("""COMPUTED_VALUE"""),"Prioridad 5")</f>
        <v>Prioridad 5</v>
      </c>
      <c r="J99" s="43" t="s">
        <v>261</v>
      </c>
    </row>
    <row r="100" spans="1:10">
      <c r="A100" s="44">
        <f ca="1">IFERROR(__xludf.DUMMYFUNCTION("""COMPUTED_VALUE"""),43908)</f>
        <v>43908</v>
      </c>
      <c r="B100" s="25" t="str">
        <f ca="1">IFERROR(__xludf.DUMMYFUNCTION("""COMPUTED_VALUE"""),"MUNICIPALIDAD PROVINCIAL")</f>
        <v>MUNICIPALIDAD PROVINCIAL</v>
      </c>
      <c r="C100" s="25" t="str">
        <f ca="1">IFERROR(__xludf.DUMMYFUNCTION("""COMPUTED_VALUE"""),"MUNICIPALIDAD PROVINCIAL DE BOLOGNESI")</f>
        <v>MUNICIPALIDAD PROVINCIAL DE BOLOGNESI</v>
      </c>
      <c r="D100" s="25" t="str">
        <f ca="1">IFERROR(__xludf.DUMMYFUNCTION("""COMPUTED_VALUE"""),"SEDE CENTRAL")</f>
        <v>SEDE CENTRAL</v>
      </c>
      <c r="E100" s="25" t="str">
        <f ca="1">IFERROR(__xludf.DUMMYFUNCTION("""COMPUTED_VALUE"""),"ANCASH")</f>
        <v>ANCASH</v>
      </c>
      <c r="F100" s="25" t="str">
        <f ca="1">IFERROR(__xludf.DUMMYFUNCTION("""COMPUTED_VALUE"""),"BOLOGNESI")</f>
        <v>BOLOGNESI</v>
      </c>
      <c r="G100" s="25" t="str">
        <f ca="1">IFERROR(__xludf.DUMMYFUNCTION("""COMPUTED_VALUE"""),"CHIQUIAN")</f>
        <v>CHIQUIAN</v>
      </c>
      <c r="H100" s="25" t="str">
        <f ca="1">IFERROR(__xludf.DUMMYFUNCTION("""COMPUTED_VALUE"""),"URBANO")</f>
        <v>URBANO</v>
      </c>
      <c r="I100" s="25" t="str">
        <f ca="1">IFERROR(__xludf.DUMMYFUNCTION("""COMPUTED_VALUE"""),"Prioridad 1")</f>
        <v>Prioridad 1</v>
      </c>
      <c r="J100" s="43" t="s">
        <v>261</v>
      </c>
    </row>
    <row r="101" spans="1:10">
      <c r="A101" s="44">
        <f ca="1">IFERROR(__xludf.DUMMYFUNCTION("""COMPUTED_VALUE"""),43909)</f>
        <v>43909</v>
      </c>
      <c r="B101" s="25" t="str">
        <f ca="1">IFERROR(__xludf.DUMMYFUNCTION("""COMPUTED_VALUE"""),"MUNICIPALIDAD DISTRITAL")</f>
        <v>MUNICIPALIDAD DISTRITAL</v>
      </c>
      <c r="C101" s="25" t="str">
        <f ca="1">IFERROR(__xludf.DUMMYFUNCTION("""COMPUTED_VALUE"""),"MUNICIPALIDAD DISTRITAL DE ABELARDO PARDO LEZAMETA")</f>
        <v>MUNICIPALIDAD DISTRITAL DE ABELARDO PARDO LEZAMETA</v>
      </c>
      <c r="D101" s="25" t="str">
        <f ca="1">IFERROR(__xludf.DUMMYFUNCTION("""COMPUTED_VALUE"""),"SEDE CENTRAL")</f>
        <v>SEDE CENTRAL</v>
      </c>
      <c r="E101" s="25" t="str">
        <f ca="1">IFERROR(__xludf.DUMMYFUNCTION("""COMPUTED_VALUE"""),"ANCASH")</f>
        <v>ANCASH</v>
      </c>
      <c r="F101" s="25" t="str">
        <f ca="1">IFERROR(__xludf.DUMMYFUNCTION("""COMPUTED_VALUE"""),"BOLOGNESI")</f>
        <v>BOLOGNESI</v>
      </c>
      <c r="G101" s="25" t="str">
        <f ca="1">IFERROR(__xludf.DUMMYFUNCTION("""COMPUTED_VALUE"""),"ABELARDO PARDO LEZAMETA")</f>
        <v>ABELARDO PARDO LEZAMETA</v>
      </c>
      <c r="H101" s="25" t="str">
        <f ca="1">IFERROR(__xludf.DUMMYFUNCTION("""COMPUTED_VALUE"""),"RURAL")</f>
        <v>RURAL</v>
      </c>
      <c r="I101" s="25" t="str">
        <f ca="1">IFERROR(__xludf.DUMMYFUNCTION("""COMPUTED_VALUE"""),"Prioridad 5")</f>
        <v>Prioridad 5</v>
      </c>
      <c r="J101" s="43" t="s">
        <v>261</v>
      </c>
    </row>
    <row r="102" spans="1:10">
      <c r="A102" s="44">
        <f ca="1">IFERROR(__xludf.DUMMYFUNCTION("""COMPUTED_VALUE"""),43910)</f>
        <v>43910</v>
      </c>
      <c r="B102" s="25" t="str">
        <f ca="1">IFERROR(__xludf.DUMMYFUNCTION("""COMPUTED_VALUE"""),"MUNICIPALIDAD DISTRITAL")</f>
        <v>MUNICIPALIDAD DISTRITAL</v>
      </c>
      <c r="C102" s="25" t="str">
        <f ca="1">IFERROR(__xludf.DUMMYFUNCTION("""COMPUTED_VALUE"""),"MUNICIPALIDAD DISTRITAL DE ANTONIO RAIMONDI")</f>
        <v>MUNICIPALIDAD DISTRITAL DE ANTONIO RAIMONDI</v>
      </c>
      <c r="D102" s="25" t="str">
        <f ca="1">IFERROR(__xludf.DUMMYFUNCTION("""COMPUTED_VALUE"""),"SEDE CENTRAL")</f>
        <v>SEDE CENTRAL</v>
      </c>
      <c r="E102" s="25" t="str">
        <f ca="1">IFERROR(__xludf.DUMMYFUNCTION("""COMPUTED_VALUE"""),"ANCASH")</f>
        <v>ANCASH</v>
      </c>
      <c r="F102" s="25" t="str">
        <f ca="1">IFERROR(__xludf.DUMMYFUNCTION("""COMPUTED_VALUE"""),"BOLOGNESI")</f>
        <v>BOLOGNESI</v>
      </c>
      <c r="G102" s="25" t="str">
        <f ca="1">IFERROR(__xludf.DUMMYFUNCTION("""COMPUTED_VALUE"""),"ANTONIO RAIMONDI")</f>
        <v>ANTONIO RAIMONDI</v>
      </c>
      <c r="H102" s="25" t="str">
        <f ca="1">IFERROR(__xludf.DUMMYFUNCTION("""COMPUTED_VALUE"""),"RURAL")</f>
        <v>RURAL</v>
      </c>
      <c r="I102" s="25" t="str">
        <f ca="1">IFERROR(__xludf.DUMMYFUNCTION("""COMPUTED_VALUE"""),"Prioridad 3")</f>
        <v>Prioridad 3</v>
      </c>
      <c r="J102" s="43" t="s">
        <v>261</v>
      </c>
    </row>
    <row r="103" spans="1:10">
      <c r="A103" s="44">
        <f ca="1">IFERROR(__xludf.DUMMYFUNCTION("""COMPUTED_VALUE"""),43911)</f>
        <v>43911</v>
      </c>
      <c r="B103" s="25" t="str">
        <f ca="1">IFERROR(__xludf.DUMMYFUNCTION("""COMPUTED_VALUE"""),"MUNICIPALIDAD DISTRITAL")</f>
        <v>MUNICIPALIDAD DISTRITAL</v>
      </c>
      <c r="C103" s="25" t="str">
        <f ca="1">IFERROR(__xludf.DUMMYFUNCTION("""COMPUTED_VALUE"""),"MUNICIPALIDAD DISTRITAL DE AQUIA")</f>
        <v>MUNICIPALIDAD DISTRITAL DE AQUIA</v>
      </c>
      <c r="D103" s="25" t="str">
        <f ca="1">IFERROR(__xludf.DUMMYFUNCTION("""COMPUTED_VALUE"""),"SEDE CENTRAL")</f>
        <v>SEDE CENTRAL</v>
      </c>
      <c r="E103" s="25" t="str">
        <f ca="1">IFERROR(__xludf.DUMMYFUNCTION("""COMPUTED_VALUE"""),"ANCASH")</f>
        <v>ANCASH</v>
      </c>
      <c r="F103" s="25" t="str">
        <f ca="1">IFERROR(__xludf.DUMMYFUNCTION("""COMPUTED_VALUE"""),"BOLOGNESI")</f>
        <v>BOLOGNESI</v>
      </c>
      <c r="G103" s="25" t="str">
        <f ca="1">IFERROR(__xludf.DUMMYFUNCTION("""COMPUTED_VALUE"""),"AQUIA")</f>
        <v>AQUIA</v>
      </c>
      <c r="H103" s="25" t="str">
        <f ca="1">IFERROR(__xludf.DUMMYFUNCTION("""COMPUTED_VALUE"""),"RURAL")</f>
        <v>RURAL</v>
      </c>
      <c r="I103" s="25" t="str">
        <f ca="1">IFERROR(__xludf.DUMMYFUNCTION("""COMPUTED_VALUE"""),"Prioridad 3")</f>
        <v>Prioridad 3</v>
      </c>
      <c r="J103" s="43" t="s">
        <v>261</v>
      </c>
    </row>
    <row r="104" spans="1:10">
      <c r="A104" s="44">
        <f ca="1">IFERROR(__xludf.DUMMYFUNCTION("""COMPUTED_VALUE"""),43912)</f>
        <v>43912</v>
      </c>
      <c r="B104" s="25" t="str">
        <f ca="1">IFERROR(__xludf.DUMMYFUNCTION("""COMPUTED_VALUE"""),"MUNICIPALIDAD DISTRITAL")</f>
        <v>MUNICIPALIDAD DISTRITAL</v>
      </c>
      <c r="C104" s="25" t="str">
        <f ca="1">IFERROR(__xludf.DUMMYFUNCTION("""COMPUTED_VALUE"""),"MUNICIPALIDAD DISTRITAL DE CAJACAY")</f>
        <v>MUNICIPALIDAD DISTRITAL DE CAJACAY</v>
      </c>
      <c r="D104" s="25" t="str">
        <f ca="1">IFERROR(__xludf.DUMMYFUNCTION("""COMPUTED_VALUE"""),"SEDE CENTRAL")</f>
        <v>SEDE CENTRAL</v>
      </c>
      <c r="E104" s="25" t="str">
        <f ca="1">IFERROR(__xludf.DUMMYFUNCTION("""COMPUTED_VALUE"""),"ANCASH")</f>
        <v>ANCASH</v>
      </c>
      <c r="F104" s="25" t="str">
        <f ca="1">IFERROR(__xludf.DUMMYFUNCTION("""COMPUTED_VALUE"""),"BOLOGNESI")</f>
        <v>BOLOGNESI</v>
      </c>
      <c r="G104" s="25" t="str">
        <f ca="1">IFERROR(__xludf.DUMMYFUNCTION("""COMPUTED_VALUE"""),"CAJACAY")</f>
        <v>CAJACAY</v>
      </c>
      <c r="H104" s="25" t="str">
        <f ca="1">IFERROR(__xludf.DUMMYFUNCTION("""COMPUTED_VALUE"""),"RURAL")</f>
        <v>RURAL</v>
      </c>
      <c r="I104" s="25" t="str">
        <f ca="1">IFERROR(__xludf.DUMMYFUNCTION("""COMPUTED_VALUE"""),"Prioridad 3")</f>
        <v>Prioridad 3</v>
      </c>
      <c r="J104" s="43" t="s">
        <v>261</v>
      </c>
    </row>
    <row r="105" spans="1:10">
      <c r="A105" s="44">
        <f ca="1">IFERROR(__xludf.DUMMYFUNCTION("""COMPUTED_VALUE"""),43913)</f>
        <v>43913</v>
      </c>
      <c r="B105" s="25" t="str">
        <f ca="1">IFERROR(__xludf.DUMMYFUNCTION("""COMPUTED_VALUE"""),"MUNICIPALIDAD DISTRITAL")</f>
        <v>MUNICIPALIDAD DISTRITAL</v>
      </c>
      <c r="C105" s="25" t="str">
        <f ca="1">IFERROR(__xludf.DUMMYFUNCTION("""COMPUTED_VALUE"""),"MUNICIPALIDAD DISTRITAL DE CANIS")</f>
        <v>MUNICIPALIDAD DISTRITAL DE CANIS</v>
      </c>
      <c r="D105" s="25" t="str">
        <f ca="1">IFERROR(__xludf.DUMMYFUNCTION("""COMPUTED_VALUE"""),"SEDE CENTRAL")</f>
        <v>SEDE CENTRAL</v>
      </c>
      <c r="E105" s="25" t="str">
        <f ca="1">IFERROR(__xludf.DUMMYFUNCTION("""COMPUTED_VALUE"""),"ANCASH")</f>
        <v>ANCASH</v>
      </c>
      <c r="F105" s="25" t="str">
        <f ca="1">IFERROR(__xludf.DUMMYFUNCTION("""COMPUTED_VALUE"""),"BOLOGNESI")</f>
        <v>BOLOGNESI</v>
      </c>
      <c r="G105" s="25" t="str">
        <f ca="1">IFERROR(__xludf.DUMMYFUNCTION("""COMPUTED_VALUE"""),"CANIS")</f>
        <v>CANIS</v>
      </c>
      <c r="H105" s="25" t="str">
        <f ca="1">IFERROR(__xludf.DUMMYFUNCTION("""COMPUTED_VALUE"""),"RURAL")</f>
        <v>RURAL</v>
      </c>
      <c r="I105" s="25" t="str">
        <f ca="1">IFERROR(__xludf.DUMMYFUNCTION("""COMPUTED_VALUE"""),"Prioridad 5")</f>
        <v>Prioridad 5</v>
      </c>
      <c r="J105" s="43" t="s">
        <v>261</v>
      </c>
    </row>
    <row r="106" spans="1:10">
      <c r="A106" s="44">
        <f ca="1">IFERROR(__xludf.DUMMYFUNCTION("""COMPUTED_VALUE"""),43914)</f>
        <v>43914</v>
      </c>
      <c r="B106" s="25" t="str">
        <f ca="1">IFERROR(__xludf.DUMMYFUNCTION("""COMPUTED_VALUE"""),"MUNICIPALIDAD DISTRITAL")</f>
        <v>MUNICIPALIDAD DISTRITAL</v>
      </c>
      <c r="C106" s="25" t="str">
        <f ca="1">IFERROR(__xludf.DUMMYFUNCTION("""COMPUTED_VALUE"""),"MUNICIPALIDAD DISTRITAL DE COLQUIOC")</f>
        <v>MUNICIPALIDAD DISTRITAL DE COLQUIOC</v>
      </c>
      <c r="D106" s="25" t="str">
        <f ca="1">IFERROR(__xludf.DUMMYFUNCTION("""COMPUTED_VALUE"""),"SEDE CENTRAL")</f>
        <v>SEDE CENTRAL</v>
      </c>
      <c r="E106" s="25" t="str">
        <f ca="1">IFERROR(__xludf.DUMMYFUNCTION("""COMPUTED_VALUE"""),"ANCASH")</f>
        <v>ANCASH</v>
      </c>
      <c r="F106" s="25" t="str">
        <f ca="1">IFERROR(__xludf.DUMMYFUNCTION("""COMPUTED_VALUE"""),"BOLOGNESI")</f>
        <v>BOLOGNESI</v>
      </c>
      <c r="G106" s="25" t="str">
        <f ca="1">IFERROR(__xludf.DUMMYFUNCTION("""COMPUTED_VALUE"""),"COLQUIOC")</f>
        <v>COLQUIOC</v>
      </c>
      <c r="H106" s="25" t="str">
        <f ca="1">IFERROR(__xludf.DUMMYFUNCTION("""COMPUTED_VALUE"""),"RURAL")</f>
        <v>RURAL</v>
      </c>
      <c r="I106" s="25" t="str">
        <f ca="1">IFERROR(__xludf.DUMMYFUNCTION("""COMPUTED_VALUE"""),"Prioridad 2")</f>
        <v>Prioridad 2</v>
      </c>
      <c r="J106" s="43" t="s">
        <v>261</v>
      </c>
    </row>
    <row r="107" spans="1:10">
      <c r="A107" s="44">
        <f ca="1">IFERROR(__xludf.DUMMYFUNCTION("""COMPUTED_VALUE"""),43915)</f>
        <v>43915</v>
      </c>
      <c r="B107" s="25" t="str">
        <f ca="1">IFERROR(__xludf.DUMMYFUNCTION("""COMPUTED_VALUE"""),"MUNICIPALIDAD DISTRITAL")</f>
        <v>MUNICIPALIDAD DISTRITAL</v>
      </c>
      <c r="C107" s="25" t="str">
        <f ca="1">IFERROR(__xludf.DUMMYFUNCTION("""COMPUTED_VALUE"""),"MUNICIPALIDAD DISTRITAL DE HUALLANCA EN BOLOGNESI")</f>
        <v>MUNICIPALIDAD DISTRITAL DE HUALLANCA EN BOLOGNESI</v>
      </c>
      <c r="D107" s="25" t="str">
        <f ca="1">IFERROR(__xludf.DUMMYFUNCTION("""COMPUTED_VALUE"""),"SEDE CENTRAL")</f>
        <v>SEDE CENTRAL</v>
      </c>
      <c r="E107" s="25" t="str">
        <f ca="1">IFERROR(__xludf.DUMMYFUNCTION("""COMPUTED_VALUE"""),"ANCASH")</f>
        <v>ANCASH</v>
      </c>
      <c r="F107" s="25" t="str">
        <f ca="1">IFERROR(__xludf.DUMMYFUNCTION("""COMPUTED_VALUE"""),"BOLOGNESI")</f>
        <v>BOLOGNESI</v>
      </c>
      <c r="G107" s="25" t="str">
        <f ca="1">IFERROR(__xludf.DUMMYFUNCTION("""COMPUTED_VALUE"""),"HUALLANCA")</f>
        <v>HUALLANCA</v>
      </c>
      <c r="H107" s="25" t="str">
        <f ca="1">IFERROR(__xludf.DUMMYFUNCTION("""COMPUTED_VALUE"""),"URBANO")</f>
        <v>URBANO</v>
      </c>
      <c r="I107" s="25" t="str">
        <f ca="1">IFERROR(__xludf.DUMMYFUNCTION("""COMPUTED_VALUE"""),"Prioridad 2")</f>
        <v>Prioridad 2</v>
      </c>
      <c r="J107" s="43" t="s">
        <v>261</v>
      </c>
    </row>
    <row r="108" spans="1:10">
      <c r="A108" s="44">
        <f ca="1">IFERROR(__xludf.DUMMYFUNCTION("""COMPUTED_VALUE"""),43916)</f>
        <v>43916</v>
      </c>
      <c r="B108" s="25" t="str">
        <f ca="1">IFERROR(__xludf.DUMMYFUNCTION("""COMPUTED_VALUE"""),"MUNICIPALIDAD DISTRITAL")</f>
        <v>MUNICIPALIDAD DISTRITAL</v>
      </c>
      <c r="C108" s="25" t="str">
        <f ca="1">IFERROR(__xludf.DUMMYFUNCTION("""COMPUTED_VALUE"""),"MUNICIPALIDAD DISTRITAL DE HUASTA")</f>
        <v>MUNICIPALIDAD DISTRITAL DE HUASTA</v>
      </c>
      <c r="D108" s="25" t="str">
        <f ca="1">IFERROR(__xludf.DUMMYFUNCTION("""COMPUTED_VALUE"""),"SEDE CENTRAL")</f>
        <v>SEDE CENTRAL</v>
      </c>
      <c r="E108" s="25" t="str">
        <f ca="1">IFERROR(__xludf.DUMMYFUNCTION("""COMPUTED_VALUE"""),"ANCASH")</f>
        <v>ANCASH</v>
      </c>
      <c r="F108" s="25" t="str">
        <f ca="1">IFERROR(__xludf.DUMMYFUNCTION("""COMPUTED_VALUE"""),"BOLOGNESI")</f>
        <v>BOLOGNESI</v>
      </c>
      <c r="G108" s="25" t="str">
        <f ca="1">IFERROR(__xludf.DUMMYFUNCTION("""COMPUTED_VALUE"""),"HUASTA")</f>
        <v>HUASTA</v>
      </c>
      <c r="H108" s="25" t="str">
        <f ca="1">IFERROR(__xludf.DUMMYFUNCTION("""COMPUTED_VALUE"""),"RURAL")</f>
        <v>RURAL</v>
      </c>
      <c r="I108" s="25" t="str">
        <f ca="1">IFERROR(__xludf.DUMMYFUNCTION("""COMPUTED_VALUE"""),"Prioridad 4")</f>
        <v>Prioridad 4</v>
      </c>
      <c r="J108" s="43" t="s">
        <v>261</v>
      </c>
    </row>
    <row r="109" spans="1:10">
      <c r="A109" s="44">
        <f ca="1">IFERROR(__xludf.DUMMYFUNCTION("""COMPUTED_VALUE"""),43917)</f>
        <v>43917</v>
      </c>
      <c r="B109" s="25" t="str">
        <f ca="1">IFERROR(__xludf.DUMMYFUNCTION("""COMPUTED_VALUE"""),"MUNICIPALIDAD DISTRITAL")</f>
        <v>MUNICIPALIDAD DISTRITAL</v>
      </c>
      <c r="C109" s="25" t="str">
        <f ca="1">IFERROR(__xludf.DUMMYFUNCTION("""COMPUTED_VALUE"""),"MUNICIPALIDAD DISTRITAL DE HUAYLLACAYAN")</f>
        <v>MUNICIPALIDAD DISTRITAL DE HUAYLLACAYAN</v>
      </c>
      <c r="D109" s="25" t="str">
        <f ca="1">IFERROR(__xludf.DUMMYFUNCTION("""COMPUTED_VALUE"""),"SEDE CENTRAL")</f>
        <v>SEDE CENTRAL</v>
      </c>
      <c r="E109" s="25" t="str">
        <f ca="1">IFERROR(__xludf.DUMMYFUNCTION("""COMPUTED_VALUE"""),"ANCASH")</f>
        <v>ANCASH</v>
      </c>
      <c r="F109" s="25" t="str">
        <f ca="1">IFERROR(__xludf.DUMMYFUNCTION("""COMPUTED_VALUE"""),"BOLOGNESI")</f>
        <v>BOLOGNESI</v>
      </c>
      <c r="G109" s="25" t="str">
        <f ca="1">IFERROR(__xludf.DUMMYFUNCTION("""COMPUTED_VALUE"""),"HUAYLLACAYAN")</f>
        <v>HUAYLLACAYAN</v>
      </c>
      <c r="H109" s="25" t="str">
        <f ca="1">IFERROR(__xludf.DUMMYFUNCTION("""COMPUTED_VALUE"""),"RURAL")</f>
        <v>RURAL</v>
      </c>
      <c r="I109" s="25" t="str">
        <f ca="1">IFERROR(__xludf.DUMMYFUNCTION("""COMPUTED_VALUE"""),"Prioridad 5")</f>
        <v>Prioridad 5</v>
      </c>
      <c r="J109" s="43" t="s">
        <v>261</v>
      </c>
    </row>
    <row r="110" spans="1:10">
      <c r="A110" s="44">
        <f ca="1">IFERROR(__xludf.DUMMYFUNCTION("""COMPUTED_VALUE"""),43918)</f>
        <v>43918</v>
      </c>
      <c r="B110" s="25" t="str">
        <f ca="1">IFERROR(__xludf.DUMMYFUNCTION("""COMPUTED_VALUE"""),"MUNICIPALIDAD DISTRITAL")</f>
        <v>MUNICIPALIDAD DISTRITAL</v>
      </c>
      <c r="C110" s="25" t="str">
        <f ca="1">IFERROR(__xludf.DUMMYFUNCTION("""COMPUTED_VALUE"""),"MUNICIPALIDAD DISTRITAL DE LA PRIMAVERA")</f>
        <v>MUNICIPALIDAD DISTRITAL DE LA PRIMAVERA</v>
      </c>
      <c r="D110" s="25" t="str">
        <f ca="1">IFERROR(__xludf.DUMMYFUNCTION("""COMPUTED_VALUE"""),"SEDE CENTRAL")</f>
        <v>SEDE CENTRAL</v>
      </c>
      <c r="E110" s="25" t="str">
        <f ca="1">IFERROR(__xludf.DUMMYFUNCTION("""COMPUTED_VALUE"""),"ANCASH")</f>
        <v>ANCASH</v>
      </c>
      <c r="F110" s="25" t="str">
        <f ca="1">IFERROR(__xludf.DUMMYFUNCTION("""COMPUTED_VALUE"""),"BOLOGNESI")</f>
        <v>BOLOGNESI</v>
      </c>
      <c r="G110" s="25" t="str">
        <f ca="1">IFERROR(__xludf.DUMMYFUNCTION("""COMPUTED_VALUE"""),"LA PRIMAVERA")</f>
        <v>LA PRIMAVERA</v>
      </c>
      <c r="H110" s="25" t="str">
        <f ca="1">IFERROR(__xludf.DUMMYFUNCTION("""COMPUTED_VALUE"""),"RURAL")</f>
        <v>RURAL</v>
      </c>
      <c r="I110" s="25" t="str">
        <f ca="1">IFERROR(__xludf.DUMMYFUNCTION("""COMPUTED_VALUE"""),"Prioridad 5")</f>
        <v>Prioridad 5</v>
      </c>
      <c r="J110" s="43" t="s">
        <v>261</v>
      </c>
    </row>
    <row r="111" spans="1:10">
      <c r="A111" s="44">
        <f ca="1">IFERROR(__xludf.DUMMYFUNCTION("""COMPUTED_VALUE"""),43919)</f>
        <v>43919</v>
      </c>
      <c r="B111" s="25" t="str">
        <f ca="1">IFERROR(__xludf.DUMMYFUNCTION("""COMPUTED_VALUE"""),"MUNICIPALIDAD DISTRITAL")</f>
        <v>MUNICIPALIDAD DISTRITAL</v>
      </c>
      <c r="C111" s="25" t="str">
        <f ca="1">IFERROR(__xludf.DUMMYFUNCTION("""COMPUTED_VALUE"""),"MUNICIPALIDAD DISTRITAL DE MANGAS")</f>
        <v>MUNICIPALIDAD DISTRITAL DE MANGAS</v>
      </c>
      <c r="D111" s="25" t="str">
        <f ca="1">IFERROR(__xludf.DUMMYFUNCTION("""COMPUTED_VALUE"""),"SEDE CENTRAL")</f>
        <v>SEDE CENTRAL</v>
      </c>
      <c r="E111" s="25" t="str">
        <f ca="1">IFERROR(__xludf.DUMMYFUNCTION("""COMPUTED_VALUE"""),"ANCASH")</f>
        <v>ANCASH</v>
      </c>
      <c r="F111" s="25" t="str">
        <f ca="1">IFERROR(__xludf.DUMMYFUNCTION("""COMPUTED_VALUE"""),"BOLOGNESI")</f>
        <v>BOLOGNESI</v>
      </c>
      <c r="G111" s="25" t="str">
        <f ca="1">IFERROR(__xludf.DUMMYFUNCTION("""COMPUTED_VALUE"""),"MANGAS")</f>
        <v>MANGAS</v>
      </c>
      <c r="H111" s="25" t="str">
        <f ca="1">IFERROR(__xludf.DUMMYFUNCTION("""COMPUTED_VALUE"""),"RURAL")</f>
        <v>RURAL</v>
      </c>
      <c r="I111" s="25" t="str">
        <f ca="1">IFERROR(__xludf.DUMMYFUNCTION("""COMPUTED_VALUE"""),"Prioridad 4")</f>
        <v>Prioridad 4</v>
      </c>
      <c r="J111" s="43" t="s">
        <v>261</v>
      </c>
    </row>
    <row r="112" spans="1:10">
      <c r="A112" s="44">
        <f ca="1">IFERROR(__xludf.DUMMYFUNCTION("""COMPUTED_VALUE"""),43920)</f>
        <v>43920</v>
      </c>
      <c r="B112" s="25" t="str">
        <f ca="1">IFERROR(__xludf.DUMMYFUNCTION("""COMPUTED_VALUE"""),"MUNICIPALIDAD DISTRITAL")</f>
        <v>MUNICIPALIDAD DISTRITAL</v>
      </c>
      <c r="C112" s="25" t="str">
        <f ca="1">IFERROR(__xludf.DUMMYFUNCTION("""COMPUTED_VALUE"""),"MUNICIPALIDAD DISTRITAL DE PACLLON")</f>
        <v>MUNICIPALIDAD DISTRITAL DE PACLLON</v>
      </c>
      <c r="D112" s="25" t="str">
        <f ca="1">IFERROR(__xludf.DUMMYFUNCTION("""COMPUTED_VALUE"""),"SEDE CENTRAL")</f>
        <v>SEDE CENTRAL</v>
      </c>
      <c r="E112" s="25" t="str">
        <f ca="1">IFERROR(__xludf.DUMMYFUNCTION("""COMPUTED_VALUE"""),"ANCASH")</f>
        <v>ANCASH</v>
      </c>
      <c r="F112" s="25" t="str">
        <f ca="1">IFERROR(__xludf.DUMMYFUNCTION("""COMPUTED_VALUE"""),"BOLOGNESI")</f>
        <v>BOLOGNESI</v>
      </c>
      <c r="G112" s="25" t="str">
        <f ca="1">IFERROR(__xludf.DUMMYFUNCTION("""COMPUTED_VALUE"""),"PACLLON")</f>
        <v>PACLLON</v>
      </c>
      <c r="H112" s="25" t="str">
        <f ca="1">IFERROR(__xludf.DUMMYFUNCTION("""COMPUTED_VALUE"""),"RURAL")</f>
        <v>RURAL</v>
      </c>
      <c r="I112" s="25" t="str">
        <f ca="1">IFERROR(__xludf.DUMMYFUNCTION("""COMPUTED_VALUE"""),"Prioridad 5")</f>
        <v>Prioridad 5</v>
      </c>
      <c r="J112" s="43" t="s">
        <v>261</v>
      </c>
    </row>
    <row r="113" spans="1:10">
      <c r="A113" s="44">
        <f ca="1">IFERROR(__xludf.DUMMYFUNCTION("""COMPUTED_VALUE"""),43921)</f>
        <v>43921</v>
      </c>
      <c r="B113" s="25" t="str">
        <f ca="1">IFERROR(__xludf.DUMMYFUNCTION("""COMPUTED_VALUE"""),"MUNICIPALIDAD DISTRITAL")</f>
        <v>MUNICIPALIDAD DISTRITAL</v>
      </c>
      <c r="C113" s="25" t="str">
        <f ca="1">IFERROR(__xludf.DUMMYFUNCTION("""COMPUTED_VALUE"""),"MUNICIPALIDAD DISTRITAL DE SAN MIGUEL DE CORPANQUI")</f>
        <v>MUNICIPALIDAD DISTRITAL DE SAN MIGUEL DE CORPANQUI</v>
      </c>
      <c r="D113" s="25" t="str">
        <f ca="1">IFERROR(__xludf.DUMMYFUNCTION("""COMPUTED_VALUE"""),"SEDE CENTRAL")</f>
        <v>SEDE CENTRAL</v>
      </c>
      <c r="E113" s="25" t="str">
        <f ca="1">IFERROR(__xludf.DUMMYFUNCTION("""COMPUTED_VALUE"""),"ANCASH")</f>
        <v>ANCASH</v>
      </c>
      <c r="F113" s="25" t="str">
        <f ca="1">IFERROR(__xludf.DUMMYFUNCTION("""COMPUTED_VALUE"""),"BOLOGNESI")</f>
        <v>BOLOGNESI</v>
      </c>
      <c r="G113" s="25" t="str">
        <f ca="1">IFERROR(__xludf.DUMMYFUNCTION("""COMPUTED_VALUE"""),"SAN MIGUEL DE CORPANQUI")</f>
        <v>SAN MIGUEL DE CORPANQUI</v>
      </c>
      <c r="H113" s="25" t="str">
        <f ca="1">IFERROR(__xludf.DUMMYFUNCTION("""COMPUTED_VALUE"""),"RURAL")</f>
        <v>RURAL</v>
      </c>
      <c r="I113" s="25" t="str">
        <f ca="1">IFERROR(__xludf.DUMMYFUNCTION("""COMPUTED_VALUE"""),"Prioridad 4")</f>
        <v>Prioridad 4</v>
      </c>
      <c r="J113" s="43" t="s">
        <v>261</v>
      </c>
    </row>
    <row r="114" spans="1:10">
      <c r="A114" s="44">
        <f ca="1">IFERROR(__xludf.DUMMYFUNCTION("""COMPUTED_VALUE"""),43922)</f>
        <v>43922</v>
      </c>
      <c r="B114" s="25" t="str">
        <f ca="1">IFERROR(__xludf.DUMMYFUNCTION("""COMPUTED_VALUE"""),"MUNICIPALIDAD DISTRITAL")</f>
        <v>MUNICIPALIDAD DISTRITAL</v>
      </c>
      <c r="C114" s="25" t="str">
        <f ca="1">IFERROR(__xludf.DUMMYFUNCTION("""COMPUTED_VALUE"""),"MUNICIPALIDAD DISTRITAL DE TICLLOS")</f>
        <v>MUNICIPALIDAD DISTRITAL DE TICLLOS</v>
      </c>
      <c r="D114" s="25" t="str">
        <f ca="1">IFERROR(__xludf.DUMMYFUNCTION("""COMPUTED_VALUE"""),"SEDE CENTRAL")</f>
        <v>SEDE CENTRAL</v>
      </c>
      <c r="E114" s="25" t="str">
        <f ca="1">IFERROR(__xludf.DUMMYFUNCTION("""COMPUTED_VALUE"""),"ANCASH")</f>
        <v>ANCASH</v>
      </c>
      <c r="F114" s="25" t="str">
        <f ca="1">IFERROR(__xludf.DUMMYFUNCTION("""COMPUTED_VALUE"""),"BOLOGNESI")</f>
        <v>BOLOGNESI</v>
      </c>
      <c r="G114" s="25" t="str">
        <f ca="1">IFERROR(__xludf.DUMMYFUNCTION("""COMPUTED_VALUE"""),"TICLLOS")</f>
        <v>TICLLOS</v>
      </c>
      <c r="H114" s="25" t="str">
        <f ca="1">IFERROR(__xludf.DUMMYFUNCTION("""COMPUTED_VALUE"""),"RURAL")</f>
        <v>RURAL</v>
      </c>
      <c r="I114" s="25" t="str">
        <f ca="1">IFERROR(__xludf.DUMMYFUNCTION("""COMPUTED_VALUE"""),"Prioridad 4")</f>
        <v>Prioridad 4</v>
      </c>
      <c r="J114" s="43" t="s">
        <v>261</v>
      </c>
    </row>
    <row r="115" spans="1:10">
      <c r="A115" s="44">
        <f ca="1">IFERROR(__xludf.DUMMYFUNCTION("""COMPUTED_VALUE"""),43923)</f>
        <v>43923</v>
      </c>
      <c r="B115" s="25" t="str">
        <f ca="1">IFERROR(__xludf.DUMMYFUNCTION("""COMPUTED_VALUE"""),"MUNICIPALIDAD PROVINCIAL")</f>
        <v>MUNICIPALIDAD PROVINCIAL</v>
      </c>
      <c r="C115" s="25" t="str">
        <f ca="1">IFERROR(__xludf.DUMMYFUNCTION("""COMPUTED_VALUE"""),"MUNICIPALIDAD PROVINCIAL DE CARHUAZ")</f>
        <v>MUNICIPALIDAD PROVINCIAL DE CARHUAZ</v>
      </c>
      <c r="D115" s="25" t="str">
        <f ca="1">IFERROR(__xludf.DUMMYFUNCTION("""COMPUTED_VALUE"""),"LA LIBERTAD")</f>
        <v>LA LIBERTAD</v>
      </c>
      <c r="E115" s="25" t="str">
        <f ca="1">IFERROR(__xludf.DUMMYFUNCTION("""COMPUTED_VALUE"""),"ANCASH")</f>
        <v>ANCASH</v>
      </c>
      <c r="F115" s="25" t="str">
        <f ca="1">IFERROR(__xludf.DUMMYFUNCTION("""COMPUTED_VALUE"""),"CARHUAZ")</f>
        <v>CARHUAZ</v>
      </c>
      <c r="G115" s="25" t="str">
        <f ca="1">IFERROR(__xludf.DUMMYFUNCTION("""COMPUTED_VALUE"""),"CARHUAZ")</f>
        <v>CARHUAZ</v>
      </c>
      <c r="H115" s="25" t="str">
        <f ca="1">IFERROR(__xludf.DUMMYFUNCTION("""COMPUTED_VALUE"""),"URBANO")</f>
        <v>URBANO</v>
      </c>
      <c r="I115" s="25" t="str">
        <f ca="1">IFERROR(__xludf.DUMMYFUNCTION("""COMPUTED_VALUE"""),"Prioridad 1")</f>
        <v>Prioridad 1</v>
      </c>
      <c r="J115" s="43" t="s">
        <v>261</v>
      </c>
    </row>
    <row r="116" spans="1:10">
      <c r="A116" s="44">
        <f ca="1">IFERROR(__xludf.DUMMYFUNCTION("""COMPUTED_VALUE"""),43924)</f>
        <v>43924</v>
      </c>
      <c r="B116" s="25" t="str">
        <f ca="1">IFERROR(__xludf.DUMMYFUNCTION("""COMPUTED_VALUE"""),"MUNICIPALIDAD DISTRITAL")</f>
        <v>MUNICIPALIDAD DISTRITAL</v>
      </c>
      <c r="C116" s="25" t="str">
        <f ca="1">IFERROR(__xludf.DUMMYFUNCTION("""COMPUTED_VALUE"""),"MUNICIPALIDAD DISTRITAL DE ACOPAMPA")</f>
        <v>MUNICIPALIDAD DISTRITAL DE ACOPAMPA</v>
      </c>
      <c r="D116" s="25" t="str">
        <f ca="1">IFERROR(__xludf.DUMMYFUNCTION("""COMPUTED_VALUE"""),"LA LIBERTAD")</f>
        <v>LA LIBERTAD</v>
      </c>
      <c r="E116" s="25" t="str">
        <f ca="1">IFERROR(__xludf.DUMMYFUNCTION("""COMPUTED_VALUE"""),"ANCASH")</f>
        <v>ANCASH</v>
      </c>
      <c r="F116" s="25" t="str">
        <f ca="1">IFERROR(__xludf.DUMMYFUNCTION("""COMPUTED_VALUE"""),"CARHUAZ")</f>
        <v>CARHUAZ</v>
      </c>
      <c r="G116" s="25" t="str">
        <f ca="1">IFERROR(__xludf.DUMMYFUNCTION("""COMPUTED_VALUE"""),"ACOPAMPA")</f>
        <v>ACOPAMPA</v>
      </c>
      <c r="H116" s="25" t="str">
        <f ca="1">IFERROR(__xludf.DUMMYFUNCTION("""COMPUTED_VALUE"""),"RURAL")</f>
        <v>RURAL</v>
      </c>
      <c r="I116" s="25" t="str">
        <f ca="1">IFERROR(__xludf.DUMMYFUNCTION("""COMPUTED_VALUE"""),"Prioridad 3")</f>
        <v>Prioridad 3</v>
      </c>
      <c r="J116" s="43" t="s">
        <v>261</v>
      </c>
    </row>
    <row r="117" spans="1:10">
      <c r="A117" s="44">
        <f ca="1">IFERROR(__xludf.DUMMYFUNCTION("""COMPUTED_VALUE"""),43925)</f>
        <v>43925</v>
      </c>
      <c r="B117" s="25" t="str">
        <f ca="1">IFERROR(__xludf.DUMMYFUNCTION("""COMPUTED_VALUE"""),"MUNICIPALIDAD DISTRITAL")</f>
        <v>MUNICIPALIDAD DISTRITAL</v>
      </c>
      <c r="C117" s="25" t="str">
        <f ca="1">IFERROR(__xludf.DUMMYFUNCTION("""COMPUTED_VALUE"""),"MUNICIPALIDAD DISTRITAL DE AMASHCA")</f>
        <v>MUNICIPALIDAD DISTRITAL DE AMASHCA</v>
      </c>
      <c r="D117" s="25" t="str">
        <f ca="1">IFERROR(__xludf.DUMMYFUNCTION("""COMPUTED_VALUE"""),"LA LIBERTAD")</f>
        <v>LA LIBERTAD</v>
      </c>
      <c r="E117" s="25" t="str">
        <f ca="1">IFERROR(__xludf.DUMMYFUNCTION("""COMPUTED_VALUE"""),"ANCASH")</f>
        <v>ANCASH</v>
      </c>
      <c r="F117" s="25" t="str">
        <f ca="1">IFERROR(__xludf.DUMMYFUNCTION("""COMPUTED_VALUE"""),"CARHUAZ")</f>
        <v>CARHUAZ</v>
      </c>
      <c r="G117" s="25" t="str">
        <f ca="1">IFERROR(__xludf.DUMMYFUNCTION("""COMPUTED_VALUE"""),"AMASHCA")</f>
        <v>AMASHCA</v>
      </c>
      <c r="H117" s="25" t="str">
        <f ca="1">IFERROR(__xludf.DUMMYFUNCTION("""COMPUTED_VALUE"""),"RURAL")</f>
        <v>RURAL</v>
      </c>
      <c r="I117" s="25" t="str">
        <f ca="1">IFERROR(__xludf.DUMMYFUNCTION("""COMPUTED_VALUE"""),"Prioridad 5")</f>
        <v>Prioridad 5</v>
      </c>
      <c r="J117" s="43" t="s">
        <v>261</v>
      </c>
    </row>
    <row r="118" spans="1:10">
      <c r="A118" s="44">
        <f ca="1">IFERROR(__xludf.DUMMYFUNCTION("""COMPUTED_VALUE"""),43926)</f>
        <v>43926</v>
      </c>
      <c r="B118" s="25" t="str">
        <f ca="1">IFERROR(__xludf.DUMMYFUNCTION("""COMPUTED_VALUE"""),"MUNICIPALIDAD DISTRITAL")</f>
        <v>MUNICIPALIDAD DISTRITAL</v>
      </c>
      <c r="C118" s="25" t="str">
        <f ca="1">IFERROR(__xludf.DUMMYFUNCTION("""COMPUTED_VALUE"""),"MUNICIPALIDAD DISTRITAL DE ANTA EN CARHUAZ")</f>
        <v>MUNICIPALIDAD DISTRITAL DE ANTA EN CARHUAZ</v>
      </c>
      <c r="D118" s="25" t="str">
        <f ca="1">IFERROR(__xludf.DUMMYFUNCTION("""COMPUTED_VALUE"""),"LA LIBERTAD")</f>
        <v>LA LIBERTAD</v>
      </c>
      <c r="E118" s="25" t="str">
        <f ca="1">IFERROR(__xludf.DUMMYFUNCTION("""COMPUTED_VALUE"""),"ANCASH")</f>
        <v>ANCASH</v>
      </c>
      <c r="F118" s="25" t="str">
        <f ca="1">IFERROR(__xludf.DUMMYFUNCTION("""COMPUTED_VALUE"""),"CARHUAZ")</f>
        <v>CARHUAZ</v>
      </c>
      <c r="G118" s="25" t="str">
        <f ca="1">IFERROR(__xludf.DUMMYFUNCTION("""COMPUTED_VALUE"""),"ANTA")</f>
        <v>ANTA</v>
      </c>
      <c r="H118" s="25" t="str">
        <f ca="1">IFERROR(__xludf.DUMMYFUNCTION("""COMPUTED_VALUE"""),"RURAL")</f>
        <v>RURAL</v>
      </c>
      <c r="I118" s="25" t="str">
        <f ca="1">IFERROR(__xludf.DUMMYFUNCTION("""COMPUTED_VALUE"""),"Prioridad 3")</f>
        <v>Prioridad 3</v>
      </c>
      <c r="J118" s="43" t="s">
        <v>261</v>
      </c>
    </row>
    <row r="119" spans="1:10">
      <c r="A119" s="44">
        <f ca="1">IFERROR(__xludf.DUMMYFUNCTION("""COMPUTED_VALUE"""),43927)</f>
        <v>43927</v>
      </c>
      <c r="B119" s="25" t="str">
        <f ca="1">IFERROR(__xludf.DUMMYFUNCTION("""COMPUTED_VALUE"""),"MUNICIPALIDAD DISTRITAL")</f>
        <v>MUNICIPALIDAD DISTRITAL</v>
      </c>
      <c r="C119" s="25" t="str">
        <f ca="1">IFERROR(__xludf.DUMMYFUNCTION("""COMPUTED_VALUE"""),"MUNICIPALIDAD DISTRITAL DE ATAQUERO")</f>
        <v>MUNICIPALIDAD DISTRITAL DE ATAQUERO</v>
      </c>
      <c r="D119" s="25" t="str">
        <f ca="1">IFERROR(__xludf.DUMMYFUNCTION("""COMPUTED_VALUE"""),"LA LIBERTAD")</f>
        <v>LA LIBERTAD</v>
      </c>
      <c r="E119" s="25" t="str">
        <f ca="1">IFERROR(__xludf.DUMMYFUNCTION("""COMPUTED_VALUE"""),"ANCASH")</f>
        <v>ANCASH</v>
      </c>
      <c r="F119" s="25" t="str">
        <f ca="1">IFERROR(__xludf.DUMMYFUNCTION("""COMPUTED_VALUE"""),"CARHUAZ")</f>
        <v>CARHUAZ</v>
      </c>
      <c r="G119" s="25" t="str">
        <f ca="1">IFERROR(__xludf.DUMMYFUNCTION("""COMPUTED_VALUE"""),"ATAQUERO")</f>
        <v>ATAQUERO</v>
      </c>
      <c r="H119" s="25" t="str">
        <f ca="1">IFERROR(__xludf.DUMMYFUNCTION("""COMPUTED_VALUE"""),"RURAL")</f>
        <v>RURAL</v>
      </c>
      <c r="I119" s="25" t="str">
        <f ca="1">IFERROR(__xludf.DUMMYFUNCTION("""COMPUTED_VALUE"""),"Prioridad 3")</f>
        <v>Prioridad 3</v>
      </c>
      <c r="J119" s="43" t="s">
        <v>261</v>
      </c>
    </row>
    <row r="120" spans="1:10">
      <c r="A120" s="44">
        <f ca="1">IFERROR(__xludf.DUMMYFUNCTION("""COMPUTED_VALUE"""),43928)</f>
        <v>43928</v>
      </c>
      <c r="B120" s="25" t="str">
        <f ca="1">IFERROR(__xludf.DUMMYFUNCTION("""COMPUTED_VALUE"""),"MUNICIPALIDAD DISTRITAL")</f>
        <v>MUNICIPALIDAD DISTRITAL</v>
      </c>
      <c r="C120" s="25" t="str">
        <f ca="1">IFERROR(__xludf.DUMMYFUNCTION("""COMPUTED_VALUE"""),"MUNICIPALIDAD DISTRITAL DE MARCARA")</f>
        <v>MUNICIPALIDAD DISTRITAL DE MARCARA</v>
      </c>
      <c r="D120" s="25" t="str">
        <f ca="1">IFERROR(__xludf.DUMMYFUNCTION("""COMPUTED_VALUE"""),"LA LIBERTAD")</f>
        <v>LA LIBERTAD</v>
      </c>
      <c r="E120" s="25" t="str">
        <f ca="1">IFERROR(__xludf.DUMMYFUNCTION("""COMPUTED_VALUE"""),"ANCASH")</f>
        <v>ANCASH</v>
      </c>
      <c r="F120" s="25" t="str">
        <f ca="1">IFERROR(__xludf.DUMMYFUNCTION("""COMPUTED_VALUE"""),"CARHUAZ")</f>
        <v>CARHUAZ</v>
      </c>
      <c r="G120" s="25" t="str">
        <f ca="1">IFERROR(__xludf.DUMMYFUNCTION("""COMPUTED_VALUE"""),"MARCARA")</f>
        <v>MARCARA</v>
      </c>
      <c r="H120" s="25" t="str">
        <f ca="1">IFERROR(__xludf.DUMMYFUNCTION("""COMPUTED_VALUE"""),"RURAL")</f>
        <v>RURAL</v>
      </c>
      <c r="I120" s="25" t="str">
        <f ca="1">IFERROR(__xludf.DUMMYFUNCTION("""COMPUTED_VALUE"""),"Prioridad 2")</f>
        <v>Prioridad 2</v>
      </c>
      <c r="J120" s="43" t="s">
        <v>261</v>
      </c>
    </row>
    <row r="121" spans="1:10">
      <c r="A121" s="44">
        <f ca="1">IFERROR(__xludf.DUMMYFUNCTION("""COMPUTED_VALUE"""),43929)</f>
        <v>43929</v>
      </c>
      <c r="B121" s="25" t="str">
        <f ca="1">IFERROR(__xludf.DUMMYFUNCTION("""COMPUTED_VALUE"""),"MUNICIPALIDAD DISTRITAL")</f>
        <v>MUNICIPALIDAD DISTRITAL</v>
      </c>
      <c r="C121" s="25" t="str">
        <f ca="1">IFERROR(__xludf.DUMMYFUNCTION("""COMPUTED_VALUE"""),"MUNICIPALIDAD DISTRITAL DE PARIAHUANCA EN CARHUAZ")</f>
        <v>MUNICIPALIDAD DISTRITAL DE PARIAHUANCA EN CARHUAZ</v>
      </c>
      <c r="D121" s="25" t="str">
        <f ca="1">IFERROR(__xludf.DUMMYFUNCTION("""COMPUTED_VALUE"""),"LA LIBERTAD")</f>
        <v>LA LIBERTAD</v>
      </c>
      <c r="E121" s="25" t="str">
        <f ca="1">IFERROR(__xludf.DUMMYFUNCTION("""COMPUTED_VALUE"""),"ANCASH")</f>
        <v>ANCASH</v>
      </c>
      <c r="F121" s="25" t="str">
        <f ca="1">IFERROR(__xludf.DUMMYFUNCTION("""COMPUTED_VALUE"""),"CARHUAZ")</f>
        <v>CARHUAZ</v>
      </c>
      <c r="G121" s="25" t="str">
        <f ca="1">IFERROR(__xludf.DUMMYFUNCTION("""COMPUTED_VALUE"""),"PARIAHUANCA")</f>
        <v>PARIAHUANCA</v>
      </c>
      <c r="H121" s="25" t="str">
        <f ca="1">IFERROR(__xludf.DUMMYFUNCTION("""COMPUTED_VALUE"""),"RURAL")</f>
        <v>RURAL</v>
      </c>
      <c r="I121" s="25" t="str">
        <f ca="1">IFERROR(__xludf.DUMMYFUNCTION("""COMPUTED_VALUE"""),"Prioridad 3")</f>
        <v>Prioridad 3</v>
      </c>
      <c r="J121" s="43" t="s">
        <v>261</v>
      </c>
    </row>
    <row r="122" spans="1:10">
      <c r="A122" s="44">
        <f ca="1">IFERROR(__xludf.DUMMYFUNCTION("""COMPUTED_VALUE"""),43930)</f>
        <v>43930</v>
      </c>
      <c r="B122" s="25" t="str">
        <f ca="1">IFERROR(__xludf.DUMMYFUNCTION("""COMPUTED_VALUE"""),"MUNICIPALIDAD DISTRITAL")</f>
        <v>MUNICIPALIDAD DISTRITAL</v>
      </c>
      <c r="C122" s="25" t="str">
        <f ca="1">IFERROR(__xludf.DUMMYFUNCTION("""COMPUTED_VALUE"""),"MUNICIPALIDAD DISTRITAL DE SAN MIGUEL DE ACO")</f>
        <v>MUNICIPALIDAD DISTRITAL DE SAN MIGUEL DE ACO</v>
      </c>
      <c r="D122" s="25" t="str">
        <f ca="1">IFERROR(__xludf.DUMMYFUNCTION("""COMPUTED_VALUE"""),"LA LIBERTAD")</f>
        <v>LA LIBERTAD</v>
      </c>
      <c r="E122" s="25" t="str">
        <f ca="1">IFERROR(__xludf.DUMMYFUNCTION("""COMPUTED_VALUE"""),"ANCASH")</f>
        <v>ANCASH</v>
      </c>
      <c r="F122" s="25" t="str">
        <f ca="1">IFERROR(__xludf.DUMMYFUNCTION("""COMPUTED_VALUE"""),"CARHUAZ")</f>
        <v>CARHUAZ</v>
      </c>
      <c r="G122" s="25" t="str">
        <f ca="1">IFERROR(__xludf.DUMMYFUNCTION("""COMPUTED_VALUE"""),"SAN MIGUEL DE ACO")</f>
        <v>SAN MIGUEL DE ACO</v>
      </c>
      <c r="H122" s="25" t="str">
        <f ca="1">IFERROR(__xludf.DUMMYFUNCTION("""COMPUTED_VALUE"""),"RURAL")</f>
        <v>RURAL</v>
      </c>
      <c r="I122" s="25" t="str">
        <f ca="1">IFERROR(__xludf.DUMMYFUNCTION("""COMPUTED_VALUE"""),"Prioridad 5")</f>
        <v>Prioridad 5</v>
      </c>
      <c r="J122" s="43" t="s">
        <v>261</v>
      </c>
    </row>
    <row r="123" spans="1:10">
      <c r="A123" s="44">
        <f ca="1">IFERROR(__xludf.DUMMYFUNCTION("""COMPUTED_VALUE"""),43931)</f>
        <v>43931</v>
      </c>
      <c r="B123" s="25" t="str">
        <f ca="1">IFERROR(__xludf.DUMMYFUNCTION("""COMPUTED_VALUE"""),"MUNICIPALIDAD DISTRITAL")</f>
        <v>MUNICIPALIDAD DISTRITAL</v>
      </c>
      <c r="C123" s="25" t="str">
        <f ca="1">IFERROR(__xludf.DUMMYFUNCTION("""COMPUTED_VALUE"""),"MUNICIPALIDAD DISTRITAL DE SHILLA")</f>
        <v>MUNICIPALIDAD DISTRITAL DE SHILLA</v>
      </c>
      <c r="D123" s="25" t="str">
        <f ca="1">IFERROR(__xludf.DUMMYFUNCTION("""COMPUTED_VALUE"""),"LA LIBERTAD")</f>
        <v>LA LIBERTAD</v>
      </c>
      <c r="E123" s="25" t="str">
        <f ca="1">IFERROR(__xludf.DUMMYFUNCTION("""COMPUTED_VALUE"""),"ANCASH")</f>
        <v>ANCASH</v>
      </c>
      <c r="F123" s="25" t="str">
        <f ca="1">IFERROR(__xludf.DUMMYFUNCTION("""COMPUTED_VALUE"""),"CARHUAZ")</f>
        <v>CARHUAZ</v>
      </c>
      <c r="G123" s="25" t="str">
        <f ca="1">IFERROR(__xludf.DUMMYFUNCTION("""COMPUTED_VALUE"""),"SHILLA")</f>
        <v>SHILLA</v>
      </c>
      <c r="H123" s="25" t="str">
        <f ca="1">IFERROR(__xludf.DUMMYFUNCTION("""COMPUTED_VALUE"""),"RURAL")</f>
        <v>RURAL</v>
      </c>
      <c r="I123" s="25" t="str">
        <f ca="1">IFERROR(__xludf.DUMMYFUNCTION("""COMPUTED_VALUE"""),"Prioridad 2")</f>
        <v>Prioridad 2</v>
      </c>
      <c r="J123" s="43" t="s">
        <v>261</v>
      </c>
    </row>
    <row r="124" spans="1:10">
      <c r="A124" s="44">
        <f ca="1">IFERROR(__xludf.DUMMYFUNCTION("""COMPUTED_VALUE"""),43932)</f>
        <v>43932</v>
      </c>
      <c r="B124" s="25" t="str">
        <f ca="1">IFERROR(__xludf.DUMMYFUNCTION("""COMPUTED_VALUE"""),"MUNICIPALIDAD DISTRITAL")</f>
        <v>MUNICIPALIDAD DISTRITAL</v>
      </c>
      <c r="C124" s="25" t="str">
        <f ca="1">IFERROR(__xludf.DUMMYFUNCTION("""COMPUTED_VALUE"""),"MUNICIPALIDAD DISTRITAL DE TINCO")</f>
        <v>MUNICIPALIDAD DISTRITAL DE TINCO</v>
      </c>
      <c r="D124" s="25" t="str">
        <f ca="1">IFERROR(__xludf.DUMMYFUNCTION("""COMPUTED_VALUE"""),"LA LIBERTAD")</f>
        <v>LA LIBERTAD</v>
      </c>
      <c r="E124" s="25" t="str">
        <f ca="1">IFERROR(__xludf.DUMMYFUNCTION("""COMPUTED_VALUE"""),"ANCASH")</f>
        <v>ANCASH</v>
      </c>
      <c r="F124" s="25" t="str">
        <f ca="1">IFERROR(__xludf.DUMMYFUNCTION("""COMPUTED_VALUE"""),"CARHUAZ")</f>
        <v>CARHUAZ</v>
      </c>
      <c r="G124" s="25" t="str">
        <f ca="1">IFERROR(__xludf.DUMMYFUNCTION("""COMPUTED_VALUE"""),"TINCO")</f>
        <v>TINCO</v>
      </c>
      <c r="H124" s="25" t="str">
        <f ca="1">IFERROR(__xludf.DUMMYFUNCTION("""COMPUTED_VALUE"""),"RURAL")</f>
        <v>RURAL</v>
      </c>
      <c r="I124" s="25" t="str">
        <f ca="1">IFERROR(__xludf.DUMMYFUNCTION("""COMPUTED_VALUE"""),"Prioridad 3")</f>
        <v>Prioridad 3</v>
      </c>
      <c r="J124" s="43" t="s">
        <v>261</v>
      </c>
    </row>
    <row r="125" spans="1:10">
      <c r="A125" s="44">
        <f ca="1">IFERROR(__xludf.DUMMYFUNCTION("""COMPUTED_VALUE"""),43933)</f>
        <v>43933</v>
      </c>
      <c r="B125" s="25" t="str">
        <f ca="1">IFERROR(__xludf.DUMMYFUNCTION("""COMPUTED_VALUE"""),"MUNICIPALIDAD DISTRITAL")</f>
        <v>MUNICIPALIDAD DISTRITAL</v>
      </c>
      <c r="C125" s="25" t="str">
        <f ca="1">IFERROR(__xludf.DUMMYFUNCTION("""COMPUTED_VALUE"""),"MUNICIPALIDAD DISTRITAL DE YUNGAR")</f>
        <v>MUNICIPALIDAD DISTRITAL DE YUNGAR</v>
      </c>
      <c r="D125" s="25" t="str">
        <f ca="1">IFERROR(__xludf.DUMMYFUNCTION("""COMPUTED_VALUE"""),"LA LIBERTAD")</f>
        <v>LA LIBERTAD</v>
      </c>
      <c r="E125" s="25" t="str">
        <f ca="1">IFERROR(__xludf.DUMMYFUNCTION("""COMPUTED_VALUE"""),"ANCASH")</f>
        <v>ANCASH</v>
      </c>
      <c r="F125" s="25" t="str">
        <f ca="1">IFERROR(__xludf.DUMMYFUNCTION("""COMPUTED_VALUE"""),"CARHUAZ")</f>
        <v>CARHUAZ</v>
      </c>
      <c r="G125" s="25" t="str">
        <f ca="1">IFERROR(__xludf.DUMMYFUNCTION("""COMPUTED_VALUE"""),"YUNGAR")</f>
        <v>YUNGAR</v>
      </c>
      <c r="H125" s="25" t="str">
        <f ca="1">IFERROR(__xludf.DUMMYFUNCTION("""COMPUTED_VALUE"""),"RURAL")</f>
        <v>RURAL</v>
      </c>
      <c r="I125" s="25" t="str">
        <f ca="1">IFERROR(__xludf.DUMMYFUNCTION("""COMPUTED_VALUE"""),"Prioridad 3")</f>
        <v>Prioridad 3</v>
      </c>
      <c r="J125" s="43" t="s">
        <v>261</v>
      </c>
    </row>
    <row r="126" spans="1:10">
      <c r="A126" s="44">
        <f ca="1">IFERROR(__xludf.DUMMYFUNCTION("""COMPUTED_VALUE"""),43934)</f>
        <v>43934</v>
      </c>
      <c r="B126" s="25" t="str">
        <f ca="1">IFERROR(__xludf.DUMMYFUNCTION("""COMPUTED_VALUE"""),"MUNICIPALIDAD PROVINCIAL")</f>
        <v>MUNICIPALIDAD PROVINCIAL</v>
      </c>
      <c r="C126" s="25" t="str">
        <f ca="1">IFERROR(__xludf.DUMMYFUNCTION("""COMPUTED_VALUE"""),"MUNICIPALIDAD PROVINCIAL DE CARLOS FERMIN FITZCARRALD")</f>
        <v>MUNICIPALIDAD PROVINCIAL DE CARLOS FERMIN FITZCARRALD</v>
      </c>
      <c r="D126" s="25" t="str">
        <f ca="1">IFERROR(__xludf.DUMMYFUNCTION("""COMPUTED_VALUE"""),"SEDE CENTRAL")</f>
        <v>SEDE CENTRAL</v>
      </c>
      <c r="E126" s="25" t="str">
        <f ca="1">IFERROR(__xludf.DUMMYFUNCTION("""COMPUTED_VALUE"""),"ANCASH")</f>
        <v>ANCASH</v>
      </c>
      <c r="F126" s="25" t="str">
        <f ca="1">IFERROR(__xludf.DUMMYFUNCTION("""COMPUTED_VALUE"""),"CARLOS FERMIN FITZCARRALD")</f>
        <v>CARLOS FERMIN FITZCARRALD</v>
      </c>
      <c r="G126" s="25" t="str">
        <f ca="1">IFERROR(__xludf.DUMMYFUNCTION("""COMPUTED_VALUE"""),"SAN LUIS")</f>
        <v>SAN LUIS</v>
      </c>
      <c r="H126" s="25" t="str">
        <f ca="1">IFERROR(__xludf.DUMMYFUNCTION("""COMPUTED_VALUE"""),"RURAL")</f>
        <v>RURAL</v>
      </c>
      <c r="I126" s="25" t="str">
        <f ca="1">IFERROR(__xludf.DUMMYFUNCTION("""COMPUTED_VALUE"""),"Prioridad 2")</f>
        <v>Prioridad 2</v>
      </c>
      <c r="J126" s="43" t="s">
        <v>261</v>
      </c>
    </row>
    <row r="127" spans="1:10">
      <c r="A127" s="44">
        <f ca="1">IFERROR(__xludf.DUMMYFUNCTION("""COMPUTED_VALUE"""),43935)</f>
        <v>43935</v>
      </c>
      <c r="B127" s="25" t="str">
        <f ca="1">IFERROR(__xludf.DUMMYFUNCTION("""COMPUTED_VALUE"""),"MUNICIPALIDAD DISTRITAL")</f>
        <v>MUNICIPALIDAD DISTRITAL</v>
      </c>
      <c r="C127" s="25" t="str">
        <f ca="1">IFERROR(__xludf.DUMMYFUNCTION("""COMPUTED_VALUE"""),"MUNICIPALIDAD DISTRITAL DE SAN NICOLAS")</f>
        <v>MUNICIPALIDAD DISTRITAL DE SAN NICOLAS</v>
      </c>
      <c r="D127" s="25" t="str">
        <f ca="1">IFERROR(__xludf.DUMMYFUNCTION("""COMPUTED_VALUE"""),"SEDE CENTRAL")</f>
        <v>SEDE CENTRAL</v>
      </c>
      <c r="E127" s="25" t="str">
        <f ca="1">IFERROR(__xludf.DUMMYFUNCTION("""COMPUTED_VALUE"""),"ANCASH")</f>
        <v>ANCASH</v>
      </c>
      <c r="F127" s="25" t="str">
        <f ca="1">IFERROR(__xludf.DUMMYFUNCTION("""COMPUTED_VALUE"""),"CARLOS FERMIN FITZCARRALD")</f>
        <v>CARLOS FERMIN FITZCARRALD</v>
      </c>
      <c r="G127" s="25" t="str">
        <f ca="1">IFERROR(__xludf.DUMMYFUNCTION("""COMPUTED_VALUE"""),"SAN NICOLAS")</f>
        <v>SAN NICOLAS</v>
      </c>
      <c r="H127" s="25" t="str">
        <f ca="1">IFERROR(__xludf.DUMMYFUNCTION("""COMPUTED_VALUE"""),"RURAL")</f>
        <v>RURAL</v>
      </c>
      <c r="I127" s="25" t="str">
        <f ca="1">IFERROR(__xludf.DUMMYFUNCTION("""COMPUTED_VALUE"""),"Prioridad 5")</f>
        <v>Prioridad 5</v>
      </c>
      <c r="J127" s="43" t="s">
        <v>261</v>
      </c>
    </row>
    <row r="128" spans="1:10">
      <c r="A128" s="44">
        <f ca="1">IFERROR(__xludf.DUMMYFUNCTION("""COMPUTED_VALUE"""),43936)</f>
        <v>43936</v>
      </c>
      <c r="B128" s="25" t="str">
        <f ca="1">IFERROR(__xludf.DUMMYFUNCTION("""COMPUTED_VALUE"""),"MUNICIPALIDAD DISTRITAL")</f>
        <v>MUNICIPALIDAD DISTRITAL</v>
      </c>
      <c r="C128" s="25" t="str">
        <f ca="1">IFERROR(__xludf.DUMMYFUNCTION("""COMPUTED_VALUE"""),"MUNICIPALIDAD DISTRITAL DE YAUYA")</f>
        <v>MUNICIPALIDAD DISTRITAL DE YAUYA</v>
      </c>
      <c r="D128" s="25" t="str">
        <f ca="1">IFERROR(__xludf.DUMMYFUNCTION("""COMPUTED_VALUE"""),"SEDE CENTRAL")</f>
        <v>SEDE CENTRAL</v>
      </c>
      <c r="E128" s="25" t="str">
        <f ca="1">IFERROR(__xludf.DUMMYFUNCTION("""COMPUTED_VALUE"""),"ANCASH")</f>
        <v>ANCASH</v>
      </c>
      <c r="F128" s="25" t="str">
        <f ca="1">IFERROR(__xludf.DUMMYFUNCTION("""COMPUTED_VALUE"""),"CARLOS FERMIN FITZCARRALD")</f>
        <v>CARLOS FERMIN FITZCARRALD</v>
      </c>
      <c r="G128" s="25" t="str">
        <f ca="1">IFERROR(__xludf.DUMMYFUNCTION("""COMPUTED_VALUE"""),"YAUYA")</f>
        <v>YAUYA</v>
      </c>
      <c r="H128" s="25" t="str">
        <f ca="1">IFERROR(__xludf.DUMMYFUNCTION("""COMPUTED_VALUE"""),"RURAL")</f>
        <v>RURAL</v>
      </c>
      <c r="I128" s="25" t="str">
        <f ca="1">IFERROR(__xludf.DUMMYFUNCTION("""COMPUTED_VALUE"""),"Prioridad 5")</f>
        <v>Prioridad 5</v>
      </c>
      <c r="J128" s="43" t="s">
        <v>261</v>
      </c>
    </row>
    <row r="129" spans="1:10">
      <c r="A129" s="44">
        <f ca="1">IFERROR(__xludf.DUMMYFUNCTION("""COMPUTED_VALUE"""),43937)</f>
        <v>43937</v>
      </c>
      <c r="B129" s="25" t="str">
        <f ca="1">IFERROR(__xludf.DUMMYFUNCTION("""COMPUTED_VALUE"""),"MUNICIPALIDAD PROVINCIAL")</f>
        <v>MUNICIPALIDAD PROVINCIAL</v>
      </c>
      <c r="C129" s="25" t="str">
        <f ca="1">IFERROR(__xludf.DUMMYFUNCTION("""COMPUTED_VALUE"""),"MUNICIPALIDAD PROVINCIAL DE CASMA")</f>
        <v>MUNICIPALIDAD PROVINCIAL DE CASMA</v>
      </c>
      <c r="D129" s="25" t="str">
        <f ca="1">IFERROR(__xludf.DUMMYFUNCTION("""COMPUTED_VALUE"""),"LA LIBERTAD")</f>
        <v>LA LIBERTAD</v>
      </c>
      <c r="E129" s="25" t="str">
        <f ca="1">IFERROR(__xludf.DUMMYFUNCTION("""COMPUTED_VALUE"""),"ANCASH")</f>
        <v>ANCASH</v>
      </c>
      <c r="F129" s="25" t="str">
        <f ca="1">IFERROR(__xludf.DUMMYFUNCTION("""COMPUTED_VALUE"""),"CASMA")</f>
        <v>CASMA</v>
      </c>
      <c r="G129" s="25" t="str">
        <f ca="1">IFERROR(__xludf.DUMMYFUNCTION("""COMPUTED_VALUE"""),"CASMA")</f>
        <v>CASMA</v>
      </c>
      <c r="H129" s="25" t="str">
        <f ca="1">IFERROR(__xludf.DUMMYFUNCTION("""COMPUTED_VALUE"""),"URBANO")</f>
        <v>URBANO</v>
      </c>
      <c r="I129" s="25" t="str">
        <f ca="1">IFERROR(__xludf.DUMMYFUNCTION("""COMPUTED_VALUE"""),"Prioridad 1")</f>
        <v>Prioridad 1</v>
      </c>
      <c r="J129" s="43" t="s">
        <v>261</v>
      </c>
    </row>
    <row r="130" spans="1:10">
      <c r="A130" s="44">
        <f ca="1">IFERROR(__xludf.DUMMYFUNCTION("""COMPUTED_VALUE"""),43938)</f>
        <v>43938</v>
      </c>
      <c r="B130" s="25" t="str">
        <f ca="1">IFERROR(__xludf.DUMMYFUNCTION("""COMPUTED_VALUE"""),"MUNICIPALIDAD DISTRITAL")</f>
        <v>MUNICIPALIDAD DISTRITAL</v>
      </c>
      <c r="C130" s="25" t="str">
        <f ca="1">IFERROR(__xludf.DUMMYFUNCTION("""COMPUTED_VALUE"""),"MUNICIPALIDAD DISTRITAL DE BUENA VISTA ALTA")</f>
        <v>MUNICIPALIDAD DISTRITAL DE BUENA VISTA ALTA</v>
      </c>
      <c r="D130" s="25" t="str">
        <f ca="1">IFERROR(__xludf.DUMMYFUNCTION("""COMPUTED_VALUE"""),"LA LIBERTAD")</f>
        <v>LA LIBERTAD</v>
      </c>
      <c r="E130" s="25" t="str">
        <f ca="1">IFERROR(__xludf.DUMMYFUNCTION("""COMPUTED_VALUE"""),"ANCASH")</f>
        <v>ANCASH</v>
      </c>
      <c r="F130" s="25" t="str">
        <f ca="1">IFERROR(__xludf.DUMMYFUNCTION("""COMPUTED_VALUE"""),"CASMA")</f>
        <v>CASMA</v>
      </c>
      <c r="G130" s="25" t="str">
        <f ca="1">IFERROR(__xludf.DUMMYFUNCTION("""COMPUTED_VALUE"""),"BUENA VISTA ALTA")</f>
        <v>BUENA VISTA ALTA</v>
      </c>
      <c r="H130" s="25" t="str">
        <f ca="1">IFERROR(__xludf.DUMMYFUNCTION("""COMPUTED_VALUE"""),"URBANO")</f>
        <v>URBANO</v>
      </c>
      <c r="I130" s="25" t="str">
        <f ca="1">IFERROR(__xludf.DUMMYFUNCTION("""COMPUTED_VALUE"""),"Prioridad 2")</f>
        <v>Prioridad 2</v>
      </c>
      <c r="J130" s="43" t="s">
        <v>261</v>
      </c>
    </row>
    <row r="131" spans="1:10">
      <c r="A131" s="44">
        <f ca="1">IFERROR(__xludf.DUMMYFUNCTION("""COMPUTED_VALUE"""),43939)</f>
        <v>43939</v>
      </c>
      <c r="B131" s="25" t="str">
        <f ca="1">IFERROR(__xludf.DUMMYFUNCTION("""COMPUTED_VALUE"""),"MUNICIPALIDAD DISTRITAL")</f>
        <v>MUNICIPALIDAD DISTRITAL</v>
      </c>
      <c r="C131" s="25" t="str">
        <f ca="1">IFERROR(__xludf.DUMMYFUNCTION("""COMPUTED_VALUE"""),"MUNICIPALIDAD DISTRITAL DE COMANDANTE NOEL")</f>
        <v>MUNICIPALIDAD DISTRITAL DE COMANDANTE NOEL</v>
      </c>
      <c r="D131" s="25" t="str">
        <f ca="1">IFERROR(__xludf.DUMMYFUNCTION("""COMPUTED_VALUE"""),"LA LIBERTAD")</f>
        <v>LA LIBERTAD</v>
      </c>
      <c r="E131" s="25" t="str">
        <f ca="1">IFERROR(__xludf.DUMMYFUNCTION("""COMPUTED_VALUE"""),"ANCASH")</f>
        <v>ANCASH</v>
      </c>
      <c r="F131" s="25" t="str">
        <f ca="1">IFERROR(__xludf.DUMMYFUNCTION("""COMPUTED_VALUE"""),"CASMA")</f>
        <v>CASMA</v>
      </c>
      <c r="G131" s="25" t="str">
        <f ca="1">IFERROR(__xludf.DUMMYFUNCTION("""COMPUTED_VALUE"""),"COMANDANTE NOEL")</f>
        <v>COMANDANTE NOEL</v>
      </c>
      <c r="H131" s="25" t="str">
        <f ca="1">IFERROR(__xludf.DUMMYFUNCTION("""COMPUTED_VALUE"""),"RURAL")</f>
        <v>RURAL</v>
      </c>
      <c r="I131" s="25" t="str">
        <f ca="1">IFERROR(__xludf.DUMMYFUNCTION("""COMPUTED_VALUE"""),"Prioridad 4")</f>
        <v>Prioridad 4</v>
      </c>
      <c r="J131" s="43" t="s">
        <v>261</v>
      </c>
    </row>
    <row r="132" spans="1:10">
      <c r="A132" s="44">
        <f ca="1">IFERROR(__xludf.DUMMYFUNCTION("""COMPUTED_VALUE"""),43940)</f>
        <v>43940</v>
      </c>
      <c r="B132" s="25" t="str">
        <f ca="1">IFERROR(__xludf.DUMMYFUNCTION("""COMPUTED_VALUE"""),"MUNICIPALIDAD DISTRITAL")</f>
        <v>MUNICIPALIDAD DISTRITAL</v>
      </c>
      <c r="C132" s="25" t="str">
        <f ca="1">IFERROR(__xludf.DUMMYFUNCTION("""COMPUTED_VALUE"""),"MUNICIPALIDAD DISTRITAL DE YAUTAN")</f>
        <v>MUNICIPALIDAD DISTRITAL DE YAUTAN</v>
      </c>
      <c r="D132" s="25" t="str">
        <f ca="1">IFERROR(__xludf.DUMMYFUNCTION("""COMPUTED_VALUE"""),"LA LIBERTAD")</f>
        <v>LA LIBERTAD</v>
      </c>
      <c r="E132" s="25" t="str">
        <f ca="1">IFERROR(__xludf.DUMMYFUNCTION("""COMPUTED_VALUE"""),"ANCASH")</f>
        <v>ANCASH</v>
      </c>
      <c r="F132" s="25" t="str">
        <f ca="1">IFERROR(__xludf.DUMMYFUNCTION("""COMPUTED_VALUE"""),"CASMA")</f>
        <v>CASMA</v>
      </c>
      <c r="G132" s="25" t="str">
        <f ca="1">IFERROR(__xludf.DUMMYFUNCTION("""COMPUTED_VALUE"""),"YAUTAN")</f>
        <v>YAUTAN</v>
      </c>
      <c r="H132" s="25" t="str">
        <f ca="1">IFERROR(__xludf.DUMMYFUNCTION("""COMPUTED_VALUE"""),"RURAL")</f>
        <v>RURAL</v>
      </c>
      <c r="I132" s="25" t="str">
        <f ca="1">IFERROR(__xludf.DUMMYFUNCTION("""COMPUTED_VALUE"""),"Prioridad 3")</f>
        <v>Prioridad 3</v>
      </c>
      <c r="J132" s="43" t="s">
        <v>261</v>
      </c>
    </row>
    <row r="133" spans="1:10">
      <c r="A133" s="44">
        <f ca="1">IFERROR(__xludf.DUMMYFUNCTION("""COMPUTED_VALUE"""),43941)</f>
        <v>43941</v>
      </c>
      <c r="B133" s="25" t="str">
        <f ca="1">IFERROR(__xludf.DUMMYFUNCTION("""COMPUTED_VALUE"""),"MUNICIPALIDAD PROVINCIAL")</f>
        <v>MUNICIPALIDAD PROVINCIAL</v>
      </c>
      <c r="C133" s="25" t="str">
        <f ca="1">IFERROR(__xludf.DUMMYFUNCTION("""COMPUTED_VALUE"""),"MUNICIPALIDAD PROVINCIAL DE CORONGO")</f>
        <v>MUNICIPALIDAD PROVINCIAL DE CORONGO</v>
      </c>
      <c r="D133" s="25" t="str">
        <f ca="1">IFERROR(__xludf.DUMMYFUNCTION("""COMPUTED_VALUE"""),"LA LIBERTAD")</f>
        <v>LA LIBERTAD</v>
      </c>
      <c r="E133" s="25" t="str">
        <f ca="1">IFERROR(__xludf.DUMMYFUNCTION("""COMPUTED_VALUE"""),"ANCASH")</f>
        <v>ANCASH</v>
      </c>
      <c r="F133" s="25" t="str">
        <f ca="1">IFERROR(__xludf.DUMMYFUNCTION("""COMPUTED_VALUE"""),"CORONGO")</f>
        <v>CORONGO</v>
      </c>
      <c r="G133" s="25" t="str">
        <f ca="1">IFERROR(__xludf.DUMMYFUNCTION("""COMPUTED_VALUE"""),"CORONGO")</f>
        <v>CORONGO</v>
      </c>
      <c r="H133" s="25" t="str">
        <f ca="1">IFERROR(__xludf.DUMMYFUNCTION("""COMPUTED_VALUE"""),"RURAL")</f>
        <v>RURAL</v>
      </c>
      <c r="I133" s="25" t="str">
        <f ca="1">IFERROR(__xludf.DUMMYFUNCTION("""COMPUTED_VALUE"""),"Prioridad 3")</f>
        <v>Prioridad 3</v>
      </c>
      <c r="J133" s="43" t="s">
        <v>261</v>
      </c>
    </row>
    <row r="134" spans="1:10">
      <c r="A134" s="44">
        <f ca="1">IFERROR(__xludf.DUMMYFUNCTION("""COMPUTED_VALUE"""),43942)</f>
        <v>43942</v>
      </c>
      <c r="B134" s="25" t="str">
        <f ca="1">IFERROR(__xludf.DUMMYFUNCTION("""COMPUTED_VALUE"""),"MUNICIPALIDAD DISTRITAL")</f>
        <v>MUNICIPALIDAD DISTRITAL</v>
      </c>
      <c r="C134" s="25" t="str">
        <f ca="1">IFERROR(__xludf.DUMMYFUNCTION("""COMPUTED_VALUE"""),"MUNICIPALIDAD DISTRITAL DE ACO EN CORONGO")</f>
        <v>MUNICIPALIDAD DISTRITAL DE ACO EN CORONGO</v>
      </c>
      <c r="D134" s="25" t="str">
        <f ca="1">IFERROR(__xludf.DUMMYFUNCTION("""COMPUTED_VALUE"""),"LA LIBERTAD")</f>
        <v>LA LIBERTAD</v>
      </c>
      <c r="E134" s="25" t="str">
        <f ca="1">IFERROR(__xludf.DUMMYFUNCTION("""COMPUTED_VALUE"""),"ANCASH")</f>
        <v>ANCASH</v>
      </c>
      <c r="F134" s="25" t="str">
        <f ca="1">IFERROR(__xludf.DUMMYFUNCTION("""COMPUTED_VALUE"""),"CORONGO")</f>
        <v>CORONGO</v>
      </c>
      <c r="G134" s="25" t="str">
        <f ca="1">IFERROR(__xludf.DUMMYFUNCTION("""COMPUTED_VALUE"""),"ACO")</f>
        <v>ACO</v>
      </c>
      <c r="H134" s="25" t="str">
        <f ca="1">IFERROR(__xludf.DUMMYFUNCTION("""COMPUTED_VALUE"""),"RURAL")</f>
        <v>RURAL</v>
      </c>
      <c r="I134" s="25" t="str">
        <f ca="1">IFERROR(__xludf.DUMMYFUNCTION("""COMPUTED_VALUE"""),"Prioridad 5")</f>
        <v>Prioridad 5</v>
      </c>
      <c r="J134" s="43" t="s">
        <v>261</v>
      </c>
    </row>
    <row r="135" spans="1:10">
      <c r="A135" s="44">
        <f ca="1">IFERROR(__xludf.DUMMYFUNCTION("""COMPUTED_VALUE"""),43943)</f>
        <v>43943</v>
      </c>
      <c r="B135" s="25" t="str">
        <f ca="1">IFERROR(__xludf.DUMMYFUNCTION("""COMPUTED_VALUE"""),"MUNICIPALIDAD DISTRITAL")</f>
        <v>MUNICIPALIDAD DISTRITAL</v>
      </c>
      <c r="C135" s="25" t="str">
        <f ca="1">IFERROR(__xludf.DUMMYFUNCTION("""COMPUTED_VALUE"""),"MUNICIPALIDAD DISTRITAL DE BAMBAS")</f>
        <v>MUNICIPALIDAD DISTRITAL DE BAMBAS</v>
      </c>
      <c r="D135" s="25" t="str">
        <f ca="1">IFERROR(__xludf.DUMMYFUNCTION("""COMPUTED_VALUE"""),"LA LIBERTAD")</f>
        <v>LA LIBERTAD</v>
      </c>
      <c r="E135" s="25" t="str">
        <f ca="1">IFERROR(__xludf.DUMMYFUNCTION("""COMPUTED_VALUE"""),"ANCASH")</f>
        <v>ANCASH</v>
      </c>
      <c r="F135" s="25" t="str">
        <f ca="1">IFERROR(__xludf.DUMMYFUNCTION("""COMPUTED_VALUE"""),"CORONGO")</f>
        <v>CORONGO</v>
      </c>
      <c r="G135" s="25" t="str">
        <f ca="1">IFERROR(__xludf.DUMMYFUNCTION("""COMPUTED_VALUE"""),"BAMBAS")</f>
        <v>BAMBAS</v>
      </c>
      <c r="H135" s="25" t="str">
        <f ca="1">IFERROR(__xludf.DUMMYFUNCTION("""COMPUTED_VALUE"""),"RURAL")</f>
        <v>RURAL</v>
      </c>
      <c r="I135" s="25" t="str">
        <f ca="1">IFERROR(__xludf.DUMMYFUNCTION("""COMPUTED_VALUE"""),"Prioridad 4")</f>
        <v>Prioridad 4</v>
      </c>
      <c r="J135" s="43" t="s">
        <v>261</v>
      </c>
    </row>
    <row r="136" spans="1:10">
      <c r="A136" s="44">
        <f ca="1">IFERROR(__xludf.DUMMYFUNCTION("""COMPUTED_VALUE"""),43944)</f>
        <v>43944</v>
      </c>
      <c r="B136" s="25" t="str">
        <f ca="1">IFERROR(__xludf.DUMMYFUNCTION("""COMPUTED_VALUE"""),"MUNICIPALIDAD DISTRITAL")</f>
        <v>MUNICIPALIDAD DISTRITAL</v>
      </c>
      <c r="C136" s="25" t="str">
        <f ca="1">IFERROR(__xludf.DUMMYFUNCTION("""COMPUTED_VALUE"""),"MUNICIPALIDAD DISTRITAL DE CUSCA")</f>
        <v>MUNICIPALIDAD DISTRITAL DE CUSCA</v>
      </c>
      <c r="D136" s="25" t="str">
        <f ca="1">IFERROR(__xludf.DUMMYFUNCTION("""COMPUTED_VALUE"""),"LA LIBERTAD")</f>
        <v>LA LIBERTAD</v>
      </c>
      <c r="E136" s="25" t="str">
        <f ca="1">IFERROR(__xludf.DUMMYFUNCTION("""COMPUTED_VALUE"""),"ANCASH")</f>
        <v>ANCASH</v>
      </c>
      <c r="F136" s="25" t="str">
        <f ca="1">IFERROR(__xludf.DUMMYFUNCTION("""COMPUTED_VALUE"""),"CORONGO")</f>
        <v>CORONGO</v>
      </c>
      <c r="G136" s="25" t="str">
        <f ca="1">IFERROR(__xludf.DUMMYFUNCTION("""COMPUTED_VALUE"""),"CUSCA")</f>
        <v>CUSCA</v>
      </c>
      <c r="H136" s="25" t="str">
        <f ca="1">IFERROR(__xludf.DUMMYFUNCTION("""COMPUTED_VALUE"""),"RURAL")</f>
        <v>RURAL</v>
      </c>
      <c r="I136" s="25" t="str">
        <f ca="1">IFERROR(__xludf.DUMMYFUNCTION("""COMPUTED_VALUE"""),"Prioridad 5")</f>
        <v>Prioridad 5</v>
      </c>
      <c r="J136" s="43" t="s">
        <v>261</v>
      </c>
    </row>
    <row r="137" spans="1:10">
      <c r="A137" s="44">
        <f ca="1">IFERROR(__xludf.DUMMYFUNCTION("""COMPUTED_VALUE"""),43945)</f>
        <v>43945</v>
      </c>
      <c r="B137" s="25" t="str">
        <f ca="1">IFERROR(__xludf.DUMMYFUNCTION("""COMPUTED_VALUE"""),"MUNICIPALIDAD DISTRITAL")</f>
        <v>MUNICIPALIDAD DISTRITAL</v>
      </c>
      <c r="C137" s="25" t="str">
        <f ca="1">IFERROR(__xludf.DUMMYFUNCTION("""COMPUTED_VALUE"""),"MUNICIPALIDAD DISTRITAL DE LA PAMPA")</f>
        <v>MUNICIPALIDAD DISTRITAL DE LA PAMPA</v>
      </c>
      <c r="D137" s="25" t="str">
        <f ca="1">IFERROR(__xludf.DUMMYFUNCTION("""COMPUTED_VALUE"""),"LA LIBERTAD")</f>
        <v>LA LIBERTAD</v>
      </c>
      <c r="E137" s="25" t="str">
        <f ca="1">IFERROR(__xludf.DUMMYFUNCTION("""COMPUTED_VALUE"""),"ANCASH")</f>
        <v>ANCASH</v>
      </c>
      <c r="F137" s="25" t="str">
        <f ca="1">IFERROR(__xludf.DUMMYFUNCTION("""COMPUTED_VALUE"""),"CORONGO")</f>
        <v>CORONGO</v>
      </c>
      <c r="G137" s="25" t="str">
        <f ca="1">IFERROR(__xludf.DUMMYFUNCTION("""COMPUTED_VALUE"""),"LA PAMPA")</f>
        <v>LA PAMPA</v>
      </c>
      <c r="H137" s="25" t="str">
        <f ca="1">IFERROR(__xludf.DUMMYFUNCTION("""COMPUTED_VALUE"""),"RURAL")</f>
        <v>RURAL</v>
      </c>
      <c r="I137" s="25" t="str">
        <f ca="1">IFERROR(__xludf.DUMMYFUNCTION("""COMPUTED_VALUE"""),"Prioridad 2")</f>
        <v>Prioridad 2</v>
      </c>
      <c r="J137" s="43" t="s">
        <v>261</v>
      </c>
    </row>
    <row r="138" spans="1:10">
      <c r="A138" s="44">
        <f ca="1">IFERROR(__xludf.DUMMYFUNCTION("""COMPUTED_VALUE"""),43946)</f>
        <v>43946</v>
      </c>
      <c r="B138" s="25" t="str">
        <f ca="1">IFERROR(__xludf.DUMMYFUNCTION("""COMPUTED_VALUE"""),"MUNICIPALIDAD DISTRITAL")</f>
        <v>MUNICIPALIDAD DISTRITAL</v>
      </c>
      <c r="C138" s="25" t="str">
        <f ca="1">IFERROR(__xludf.DUMMYFUNCTION("""COMPUTED_VALUE"""),"MUNICIPALIDAD DISTRITAL DE YANAC")</f>
        <v>MUNICIPALIDAD DISTRITAL DE YANAC</v>
      </c>
      <c r="D138" s="25" t="str">
        <f ca="1">IFERROR(__xludf.DUMMYFUNCTION("""COMPUTED_VALUE"""),"LA LIBERTAD")</f>
        <v>LA LIBERTAD</v>
      </c>
      <c r="E138" s="25" t="str">
        <f ca="1">IFERROR(__xludf.DUMMYFUNCTION("""COMPUTED_VALUE"""),"ANCASH")</f>
        <v>ANCASH</v>
      </c>
      <c r="F138" s="25" t="str">
        <f ca="1">IFERROR(__xludf.DUMMYFUNCTION("""COMPUTED_VALUE"""),"CORONGO")</f>
        <v>CORONGO</v>
      </c>
      <c r="G138" s="25" t="str">
        <f ca="1">IFERROR(__xludf.DUMMYFUNCTION("""COMPUTED_VALUE"""),"YANAC")</f>
        <v>YANAC</v>
      </c>
      <c r="H138" s="25" t="str">
        <f ca="1">IFERROR(__xludf.DUMMYFUNCTION("""COMPUTED_VALUE"""),"RURAL")</f>
        <v>RURAL</v>
      </c>
      <c r="I138" s="25" t="str">
        <f ca="1">IFERROR(__xludf.DUMMYFUNCTION("""COMPUTED_VALUE"""),"Prioridad 3")</f>
        <v>Prioridad 3</v>
      </c>
      <c r="J138" s="43" t="s">
        <v>261</v>
      </c>
    </row>
    <row r="139" spans="1:10">
      <c r="A139" s="44">
        <f ca="1">IFERROR(__xludf.DUMMYFUNCTION("""COMPUTED_VALUE"""),43947)</f>
        <v>43947</v>
      </c>
      <c r="B139" s="25" t="str">
        <f ca="1">IFERROR(__xludf.DUMMYFUNCTION("""COMPUTED_VALUE"""),"MUNICIPALIDAD DISTRITAL")</f>
        <v>MUNICIPALIDAD DISTRITAL</v>
      </c>
      <c r="C139" s="25" t="str">
        <f ca="1">IFERROR(__xludf.DUMMYFUNCTION("""COMPUTED_VALUE"""),"MUNICIPALIDAD DISTRITAL DE YUPAN")</f>
        <v>MUNICIPALIDAD DISTRITAL DE YUPAN</v>
      </c>
      <c r="D139" s="25" t="str">
        <f ca="1">IFERROR(__xludf.DUMMYFUNCTION("""COMPUTED_VALUE"""),"LA LIBERTAD")</f>
        <v>LA LIBERTAD</v>
      </c>
      <c r="E139" s="25" t="str">
        <f ca="1">IFERROR(__xludf.DUMMYFUNCTION("""COMPUTED_VALUE"""),"ANCASH")</f>
        <v>ANCASH</v>
      </c>
      <c r="F139" s="25" t="str">
        <f ca="1">IFERROR(__xludf.DUMMYFUNCTION("""COMPUTED_VALUE"""),"CORONGO")</f>
        <v>CORONGO</v>
      </c>
      <c r="G139" s="25" t="str">
        <f ca="1">IFERROR(__xludf.DUMMYFUNCTION("""COMPUTED_VALUE"""),"YUPAN")</f>
        <v>YUPAN</v>
      </c>
      <c r="H139" s="25" t="str">
        <f ca="1">IFERROR(__xludf.DUMMYFUNCTION("""COMPUTED_VALUE"""),"RURAL")</f>
        <v>RURAL</v>
      </c>
      <c r="I139" s="25" t="str">
        <f ca="1">IFERROR(__xludf.DUMMYFUNCTION("""COMPUTED_VALUE"""),"Prioridad 4")</f>
        <v>Prioridad 4</v>
      </c>
      <c r="J139" s="43" t="s">
        <v>261</v>
      </c>
    </row>
    <row r="140" spans="1:10">
      <c r="A140" s="44">
        <f ca="1">IFERROR(__xludf.DUMMYFUNCTION("""COMPUTED_VALUE"""),43948)</f>
        <v>43948</v>
      </c>
      <c r="B140" s="25" t="str">
        <f ca="1">IFERROR(__xludf.DUMMYFUNCTION("""COMPUTED_VALUE"""),"MUNICIPALIDAD PROVINCIAL")</f>
        <v>MUNICIPALIDAD PROVINCIAL</v>
      </c>
      <c r="C140" s="25" t="str">
        <f ca="1">IFERROR(__xludf.DUMMYFUNCTION("""COMPUTED_VALUE"""),"MUNICIPALIDAD PROVINCIAL DE HUARAZ")</f>
        <v>MUNICIPALIDAD PROVINCIAL DE HUARAZ</v>
      </c>
      <c r="D140" s="25" t="str">
        <f ca="1">IFERROR(__xludf.DUMMYFUNCTION("""COMPUTED_VALUE"""),"LA LIBERTAD")</f>
        <v>LA LIBERTAD</v>
      </c>
      <c r="E140" s="25" t="str">
        <f ca="1">IFERROR(__xludf.DUMMYFUNCTION("""COMPUTED_VALUE"""),"ANCASH")</f>
        <v>ANCASH</v>
      </c>
      <c r="F140" s="25" t="str">
        <f ca="1">IFERROR(__xludf.DUMMYFUNCTION("""COMPUTED_VALUE"""),"HUARAZ")</f>
        <v>HUARAZ</v>
      </c>
      <c r="G140" s="25" t="str">
        <f ca="1">IFERROR(__xludf.DUMMYFUNCTION("""COMPUTED_VALUE"""),"HUARAZ")</f>
        <v>HUARAZ</v>
      </c>
      <c r="H140" s="25" t="str">
        <f ca="1">IFERROR(__xludf.DUMMYFUNCTION("""COMPUTED_VALUE"""),"URBANO")</f>
        <v>URBANO</v>
      </c>
      <c r="I140" s="25" t="str">
        <f ca="1">IFERROR(__xludf.DUMMYFUNCTION("""COMPUTED_VALUE"""),"Prioridad 1")</f>
        <v>Prioridad 1</v>
      </c>
      <c r="J140" s="43" t="s">
        <v>261</v>
      </c>
    </row>
    <row r="141" spans="1:10">
      <c r="A141" s="44">
        <f ca="1">IFERROR(__xludf.DUMMYFUNCTION("""COMPUTED_VALUE"""),43949)</f>
        <v>43949</v>
      </c>
      <c r="B141" s="25" t="str">
        <f ca="1">IFERROR(__xludf.DUMMYFUNCTION("""COMPUTED_VALUE"""),"MUNICIPALIDAD DISTRITAL")</f>
        <v>MUNICIPALIDAD DISTRITAL</v>
      </c>
      <c r="C141" s="25" t="str">
        <f ca="1">IFERROR(__xludf.DUMMYFUNCTION("""COMPUTED_VALUE"""),"MUNICIPALIDAD DISTRITAL DE COCHABAMBA EN HUARAZ")</f>
        <v>MUNICIPALIDAD DISTRITAL DE COCHABAMBA EN HUARAZ</v>
      </c>
      <c r="D141" s="25" t="str">
        <f ca="1">IFERROR(__xludf.DUMMYFUNCTION("""COMPUTED_VALUE"""),"LA LIBERTAD")</f>
        <v>LA LIBERTAD</v>
      </c>
      <c r="E141" s="25" t="str">
        <f ca="1">IFERROR(__xludf.DUMMYFUNCTION("""COMPUTED_VALUE"""),"ANCASH")</f>
        <v>ANCASH</v>
      </c>
      <c r="F141" s="25" t="str">
        <f ca="1">IFERROR(__xludf.DUMMYFUNCTION("""COMPUTED_VALUE"""),"HUARAZ")</f>
        <v>HUARAZ</v>
      </c>
      <c r="G141" s="25" t="str">
        <f ca="1">IFERROR(__xludf.DUMMYFUNCTION("""COMPUTED_VALUE"""),"COCHABAMBA")</f>
        <v>COCHABAMBA</v>
      </c>
      <c r="H141" s="25" t="str">
        <f ca="1">IFERROR(__xludf.DUMMYFUNCTION("""COMPUTED_VALUE"""),"RURAL")</f>
        <v>RURAL</v>
      </c>
      <c r="I141" s="25" t="str">
        <f ca="1">IFERROR(__xludf.DUMMYFUNCTION("""COMPUTED_VALUE"""),"Prioridad 5")</f>
        <v>Prioridad 5</v>
      </c>
      <c r="J141" s="43" t="s">
        <v>261</v>
      </c>
    </row>
    <row r="142" spans="1:10">
      <c r="A142" s="44">
        <f ca="1">IFERROR(__xludf.DUMMYFUNCTION("""COMPUTED_VALUE"""),43950)</f>
        <v>43950</v>
      </c>
      <c r="B142" s="25" t="str">
        <f ca="1">IFERROR(__xludf.DUMMYFUNCTION("""COMPUTED_VALUE"""),"MUNICIPALIDAD DISTRITAL")</f>
        <v>MUNICIPALIDAD DISTRITAL</v>
      </c>
      <c r="C142" s="25" t="str">
        <f ca="1">IFERROR(__xludf.DUMMYFUNCTION("""COMPUTED_VALUE"""),"MUNICIPALIDAD DISTRITAL DE COLCABAMBA EN HUARAZ")</f>
        <v>MUNICIPALIDAD DISTRITAL DE COLCABAMBA EN HUARAZ</v>
      </c>
      <c r="D142" s="25" t="str">
        <f ca="1">IFERROR(__xludf.DUMMYFUNCTION("""COMPUTED_VALUE"""),"LA LIBERTAD")</f>
        <v>LA LIBERTAD</v>
      </c>
      <c r="E142" s="25" t="str">
        <f ca="1">IFERROR(__xludf.DUMMYFUNCTION("""COMPUTED_VALUE"""),"ANCASH")</f>
        <v>ANCASH</v>
      </c>
      <c r="F142" s="25" t="str">
        <f ca="1">IFERROR(__xludf.DUMMYFUNCTION("""COMPUTED_VALUE"""),"HUARAZ")</f>
        <v>HUARAZ</v>
      </c>
      <c r="G142" s="25" t="str">
        <f ca="1">IFERROR(__xludf.DUMMYFUNCTION("""COMPUTED_VALUE"""),"COLCABAMBA")</f>
        <v>COLCABAMBA</v>
      </c>
      <c r="H142" s="25" t="str">
        <f ca="1">IFERROR(__xludf.DUMMYFUNCTION("""COMPUTED_VALUE"""),"RURAL")</f>
        <v>RURAL</v>
      </c>
      <c r="I142" s="25" t="str">
        <f ca="1">IFERROR(__xludf.DUMMYFUNCTION("""COMPUTED_VALUE"""),"Prioridad 4")</f>
        <v>Prioridad 4</v>
      </c>
      <c r="J142" s="43" t="s">
        <v>261</v>
      </c>
    </row>
    <row r="143" spans="1:10">
      <c r="A143" s="44">
        <f ca="1">IFERROR(__xludf.DUMMYFUNCTION("""COMPUTED_VALUE"""),43951)</f>
        <v>43951</v>
      </c>
      <c r="B143" s="25" t="str">
        <f ca="1">IFERROR(__xludf.DUMMYFUNCTION("""COMPUTED_VALUE"""),"MUNICIPALIDAD DISTRITAL")</f>
        <v>MUNICIPALIDAD DISTRITAL</v>
      </c>
      <c r="C143" s="25" t="str">
        <f ca="1">IFERROR(__xludf.DUMMYFUNCTION("""COMPUTED_VALUE"""),"MUNICIPALIDAD DISTRITAL DE HUANCHAY")</f>
        <v>MUNICIPALIDAD DISTRITAL DE HUANCHAY</v>
      </c>
      <c r="D143" s="25" t="str">
        <f ca="1">IFERROR(__xludf.DUMMYFUNCTION("""COMPUTED_VALUE"""),"LA LIBERTAD")</f>
        <v>LA LIBERTAD</v>
      </c>
      <c r="E143" s="25" t="str">
        <f ca="1">IFERROR(__xludf.DUMMYFUNCTION("""COMPUTED_VALUE"""),"ANCASH")</f>
        <v>ANCASH</v>
      </c>
      <c r="F143" s="25" t="str">
        <f ca="1">IFERROR(__xludf.DUMMYFUNCTION("""COMPUTED_VALUE"""),"HUARAZ")</f>
        <v>HUARAZ</v>
      </c>
      <c r="G143" s="25" t="str">
        <f ca="1">IFERROR(__xludf.DUMMYFUNCTION("""COMPUTED_VALUE"""),"HUANCHAY")</f>
        <v>HUANCHAY</v>
      </c>
      <c r="H143" s="25" t="str">
        <f ca="1">IFERROR(__xludf.DUMMYFUNCTION("""COMPUTED_VALUE"""),"RURAL")</f>
        <v>RURAL</v>
      </c>
      <c r="I143" s="25" t="str">
        <f ca="1">IFERROR(__xludf.DUMMYFUNCTION("""COMPUTED_VALUE"""),"Prioridad 5")</f>
        <v>Prioridad 5</v>
      </c>
      <c r="J143" s="43" t="s">
        <v>261</v>
      </c>
    </row>
    <row r="144" spans="1:10">
      <c r="A144" s="44">
        <f ca="1">IFERROR(__xludf.DUMMYFUNCTION("""COMPUTED_VALUE"""),43952)</f>
        <v>43952</v>
      </c>
      <c r="B144" s="25" t="str">
        <f ca="1">IFERROR(__xludf.DUMMYFUNCTION("""COMPUTED_VALUE"""),"MUNICIPALIDAD DISTRITAL")</f>
        <v>MUNICIPALIDAD DISTRITAL</v>
      </c>
      <c r="C144" s="25" t="str">
        <f ca="1">IFERROR(__xludf.DUMMYFUNCTION("""COMPUTED_VALUE"""),"MUNICIPALIDAD DISTRITAL DE INDEPENDENCIA EN HUARAZ")</f>
        <v>MUNICIPALIDAD DISTRITAL DE INDEPENDENCIA EN HUARAZ</v>
      </c>
      <c r="D144" s="25" t="str">
        <f ca="1">IFERROR(__xludf.DUMMYFUNCTION("""COMPUTED_VALUE"""),"LA LIBERTAD")</f>
        <v>LA LIBERTAD</v>
      </c>
      <c r="E144" s="25" t="str">
        <f ca="1">IFERROR(__xludf.DUMMYFUNCTION("""COMPUTED_VALUE"""),"ANCASH")</f>
        <v>ANCASH</v>
      </c>
      <c r="F144" s="25" t="str">
        <f ca="1">IFERROR(__xludf.DUMMYFUNCTION("""COMPUTED_VALUE"""),"HUARAZ")</f>
        <v>HUARAZ</v>
      </c>
      <c r="G144" s="25" t="str">
        <f ca="1">IFERROR(__xludf.DUMMYFUNCTION("""COMPUTED_VALUE"""),"INDEPENDENCIA")</f>
        <v>INDEPENDENCIA</v>
      </c>
      <c r="H144" s="25" t="str">
        <f ca="1">IFERROR(__xludf.DUMMYFUNCTION("""COMPUTED_VALUE"""),"URBANO")</f>
        <v>URBANO</v>
      </c>
      <c r="I144" s="25" t="str">
        <f ca="1">IFERROR(__xludf.DUMMYFUNCTION("""COMPUTED_VALUE"""),"Prioridad 1")</f>
        <v>Prioridad 1</v>
      </c>
      <c r="J144" s="43" t="s">
        <v>261</v>
      </c>
    </row>
    <row r="145" spans="1:10">
      <c r="A145" s="44">
        <f ca="1">IFERROR(__xludf.DUMMYFUNCTION("""COMPUTED_VALUE"""),43953)</f>
        <v>43953</v>
      </c>
      <c r="B145" s="25" t="str">
        <f ca="1">IFERROR(__xludf.DUMMYFUNCTION("""COMPUTED_VALUE"""),"MUNICIPALIDAD DISTRITAL")</f>
        <v>MUNICIPALIDAD DISTRITAL</v>
      </c>
      <c r="C145" s="25" t="str">
        <f ca="1">IFERROR(__xludf.DUMMYFUNCTION("""COMPUTED_VALUE"""),"MUNICIPALIDAD DISTRITAL DE JANGAS")</f>
        <v>MUNICIPALIDAD DISTRITAL DE JANGAS</v>
      </c>
      <c r="D145" s="25" t="str">
        <f ca="1">IFERROR(__xludf.DUMMYFUNCTION("""COMPUTED_VALUE"""),"LA LIBERTAD")</f>
        <v>LA LIBERTAD</v>
      </c>
      <c r="E145" s="25" t="str">
        <f ca="1">IFERROR(__xludf.DUMMYFUNCTION("""COMPUTED_VALUE"""),"ANCASH")</f>
        <v>ANCASH</v>
      </c>
      <c r="F145" s="25" t="str">
        <f ca="1">IFERROR(__xludf.DUMMYFUNCTION("""COMPUTED_VALUE"""),"HUARAZ")</f>
        <v>HUARAZ</v>
      </c>
      <c r="G145" s="25" t="str">
        <f ca="1">IFERROR(__xludf.DUMMYFUNCTION("""COMPUTED_VALUE"""),"JANGAS")</f>
        <v>JANGAS</v>
      </c>
      <c r="H145" s="25" t="str">
        <f ca="1">IFERROR(__xludf.DUMMYFUNCTION("""COMPUTED_VALUE"""),"URBANO")</f>
        <v>URBANO</v>
      </c>
      <c r="I145" s="25" t="str">
        <f ca="1">IFERROR(__xludf.DUMMYFUNCTION("""COMPUTED_VALUE"""),"Prioridad 3")</f>
        <v>Prioridad 3</v>
      </c>
      <c r="J145" s="43" t="s">
        <v>261</v>
      </c>
    </row>
    <row r="146" spans="1:10">
      <c r="A146" s="44">
        <f ca="1">IFERROR(__xludf.DUMMYFUNCTION("""COMPUTED_VALUE"""),43954)</f>
        <v>43954</v>
      </c>
      <c r="B146" s="25" t="str">
        <f ca="1">IFERROR(__xludf.DUMMYFUNCTION("""COMPUTED_VALUE"""),"MUNICIPALIDAD DISTRITAL")</f>
        <v>MUNICIPALIDAD DISTRITAL</v>
      </c>
      <c r="C146" s="25" t="str">
        <f ca="1">IFERROR(__xludf.DUMMYFUNCTION("""COMPUTED_VALUE"""),"MUNICIPALIDAD DISTRITAL DE LA LIBERTAD")</f>
        <v>MUNICIPALIDAD DISTRITAL DE LA LIBERTAD</v>
      </c>
      <c r="D146" s="25" t="str">
        <f ca="1">IFERROR(__xludf.DUMMYFUNCTION("""COMPUTED_VALUE"""),"LA LIBERTAD")</f>
        <v>LA LIBERTAD</v>
      </c>
      <c r="E146" s="25" t="str">
        <f ca="1">IFERROR(__xludf.DUMMYFUNCTION("""COMPUTED_VALUE"""),"ANCASH")</f>
        <v>ANCASH</v>
      </c>
      <c r="F146" s="25" t="str">
        <f ca="1">IFERROR(__xludf.DUMMYFUNCTION("""COMPUTED_VALUE"""),"HUARAZ")</f>
        <v>HUARAZ</v>
      </c>
      <c r="G146" s="25" t="str">
        <f ca="1">IFERROR(__xludf.DUMMYFUNCTION("""COMPUTED_VALUE"""),"LA LIBERTAD")</f>
        <v>LA LIBERTAD</v>
      </c>
      <c r="H146" s="25" t="str">
        <f ca="1">IFERROR(__xludf.DUMMYFUNCTION("""COMPUTED_VALUE"""),"RURAL")</f>
        <v>RURAL</v>
      </c>
      <c r="I146" s="25" t="str">
        <f ca="1">IFERROR(__xludf.DUMMYFUNCTION("""COMPUTED_VALUE"""),"Prioridad 5")</f>
        <v>Prioridad 5</v>
      </c>
      <c r="J146" s="43" t="s">
        <v>261</v>
      </c>
    </row>
    <row r="147" spans="1:10">
      <c r="A147" s="44">
        <f ca="1">IFERROR(__xludf.DUMMYFUNCTION("""COMPUTED_VALUE"""),43955)</f>
        <v>43955</v>
      </c>
      <c r="B147" s="25" t="str">
        <f ca="1">IFERROR(__xludf.DUMMYFUNCTION("""COMPUTED_VALUE"""),"MUNICIPALIDAD DISTRITAL")</f>
        <v>MUNICIPALIDAD DISTRITAL</v>
      </c>
      <c r="C147" s="25" t="str">
        <f ca="1">IFERROR(__xludf.DUMMYFUNCTION("""COMPUTED_VALUE"""),"MUNICIPALIDAD DISTRITAL DE OLLEROS EN HUARAZ")</f>
        <v>MUNICIPALIDAD DISTRITAL DE OLLEROS EN HUARAZ</v>
      </c>
      <c r="D147" s="25" t="str">
        <f ca="1">IFERROR(__xludf.DUMMYFUNCTION("""COMPUTED_VALUE"""),"LA LIBERTAD")</f>
        <v>LA LIBERTAD</v>
      </c>
      <c r="E147" s="25" t="str">
        <f ca="1">IFERROR(__xludf.DUMMYFUNCTION("""COMPUTED_VALUE"""),"ANCASH")</f>
        <v>ANCASH</v>
      </c>
      <c r="F147" s="25" t="str">
        <f ca="1">IFERROR(__xludf.DUMMYFUNCTION("""COMPUTED_VALUE"""),"HUARAZ")</f>
        <v>HUARAZ</v>
      </c>
      <c r="G147" s="25" t="str">
        <f ca="1">IFERROR(__xludf.DUMMYFUNCTION("""COMPUTED_VALUE"""),"OLLEROS")</f>
        <v>OLLEROS</v>
      </c>
      <c r="H147" s="25" t="str">
        <f ca="1">IFERROR(__xludf.DUMMYFUNCTION("""COMPUTED_VALUE"""),"RURAL")</f>
        <v>RURAL</v>
      </c>
      <c r="I147" s="25" t="str">
        <f ca="1">IFERROR(__xludf.DUMMYFUNCTION("""COMPUTED_VALUE"""),"Prioridad 3")</f>
        <v>Prioridad 3</v>
      </c>
      <c r="J147" s="43" t="s">
        <v>261</v>
      </c>
    </row>
    <row r="148" spans="1:10">
      <c r="A148" s="44">
        <f ca="1">IFERROR(__xludf.DUMMYFUNCTION("""COMPUTED_VALUE"""),43956)</f>
        <v>43956</v>
      </c>
      <c r="B148" s="25" t="str">
        <f ca="1">IFERROR(__xludf.DUMMYFUNCTION("""COMPUTED_VALUE"""),"MUNICIPALIDAD DISTRITAL")</f>
        <v>MUNICIPALIDAD DISTRITAL</v>
      </c>
      <c r="C148" s="25" t="str">
        <f ca="1">IFERROR(__xludf.DUMMYFUNCTION("""COMPUTED_VALUE"""),"MUNICIPALIDAD DISTRITAL DE PAMPAS EN HUARAZ")</f>
        <v>MUNICIPALIDAD DISTRITAL DE PAMPAS EN HUARAZ</v>
      </c>
      <c r="D148" s="25" t="str">
        <f ca="1">IFERROR(__xludf.DUMMYFUNCTION("""COMPUTED_VALUE"""),"LA LIBERTAD")</f>
        <v>LA LIBERTAD</v>
      </c>
      <c r="E148" s="25" t="str">
        <f ca="1">IFERROR(__xludf.DUMMYFUNCTION("""COMPUTED_VALUE"""),"ANCASH")</f>
        <v>ANCASH</v>
      </c>
      <c r="F148" s="25" t="str">
        <f ca="1">IFERROR(__xludf.DUMMYFUNCTION("""COMPUTED_VALUE"""),"HUARAZ")</f>
        <v>HUARAZ</v>
      </c>
      <c r="G148" s="25" t="str">
        <f ca="1">IFERROR(__xludf.DUMMYFUNCTION("""COMPUTED_VALUE"""),"PAMPAS GRANDE")</f>
        <v>PAMPAS GRANDE</v>
      </c>
      <c r="H148" s="25" t="str">
        <f ca="1">IFERROR(__xludf.DUMMYFUNCTION("""COMPUTED_VALUE"""),"RURAL")</f>
        <v>RURAL</v>
      </c>
      <c r="I148" s="25" t="str">
        <f ca="1">IFERROR(__xludf.DUMMYFUNCTION("""COMPUTED_VALUE"""),"Prioridad 5")</f>
        <v>Prioridad 5</v>
      </c>
      <c r="J148" s="43" t="s">
        <v>261</v>
      </c>
    </row>
    <row r="149" spans="1:10">
      <c r="A149" s="44">
        <f ca="1">IFERROR(__xludf.DUMMYFUNCTION("""COMPUTED_VALUE"""),43957)</f>
        <v>43957</v>
      </c>
      <c r="B149" s="25" t="str">
        <f ca="1">IFERROR(__xludf.DUMMYFUNCTION("""COMPUTED_VALUE"""),"MUNICIPALIDAD DISTRITAL")</f>
        <v>MUNICIPALIDAD DISTRITAL</v>
      </c>
      <c r="C149" s="25" t="str">
        <f ca="1">IFERROR(__xludf.DUMMYFUNCTION("""COMPUTED_VALUE"""),"MUNICIPALIDAD DISTRITAL DE PARIACOTO")</f>
        <v>MUNICIPALIDAD DISTRITAL DE PARIACOTO</v>
      </c>
      <c r="D149" s="25" t="str">
        <f ca="1">IFERROR(__xludf.DUMMYFUNCTION("""COMPUTED_VALUE"""),"LA LIBERTAD")</f>
        <v>LA LIBERTAD</v>
      </c>
      <c r="E149" s="25" t="str">
        <f ca="1">IFERROR(__xludf.DUMMYFUNCTION("""COMPUTED_VALUE"""),"ANCASH")</f>
        <v>ANCASH</v>
      </c>
      <c r="F149" s="25" t="str">
        <f ca="1">IFERROR(__xludf.DUMMYFUNCTION("""COMPUTED_VALUE"""),"HUARAZ")</f>
        <v>HUARAZ</v>
      </c>
      <c r="G149" s="25" t="str">
        <f ca="1">IFERROR(__xludf.DUMMYFUNCTION("""COMPUTED_VALUE"""),"PARIACOTO")</f>
        <v>PARIACOTO</v>
      </c>
      <c r="H149" s="25" t="str">
        <f ca="1">IFERROR(__xludf.DUMMYFUNCTION("""COMPUTED_VALUE"""),"RURAL")</f>
        <v>RURAL</v>
      </c>
      <c r="I149" s="25" t="str">
        <f ca="1">IFERROR(__xludf.DUMMYFUNCTION("""COMPUTED_VALUE"""),"Prioridad 3")</f>
        <v>Prioridad 3</v>
      </c>
      <c r="J149" s="43" t="s">
        <v>261</v>
      </c>
    </row>
    <row r="150" spans="1:10">
      <c r="A150" s="44">
        <f ca="1">IFERROR(__xludf.DUMMYFUNCTION("""COMPUTED_VALUE"""),43958)</f>
        <v>43958</v>
      </c>
      <c r="B150" s="25" t="str">
        <f ca="1">IFERROR(__xludf.DUMMYFUNCTION("""COMPUTED_VALUE"""),"MUNICIPALIDAD DISTRITAL")</f>
        <v>MUNICIPALIDAD DISTRITAL</v>
      </c>
      <c r="C150" s="25" t="str">
        <f ca="1">IFERROR(__xludf.DUMMYFUNCTION("""COMPUTED_VALUE"""),"MUNICIPALIDAD DISTRITAL DE PIRA")</f>
        <v>MUNICIPALIDAD DISTRITAL DE PIRA</v>
      </c>
      <c r="D150" s="25" t="str">
        <f ca="1">IFERROR(__xludf.DUMMYFUNCTION("""COMPUTED_VALUE"""),"LA LIBERTAD")</f>
        <v>LA LIBERTAD</v>
      </c>
      <c r="E150" s="25" t="str">
        <f ca="1">IFERROR(__xludf.DUMMYFUNCTION("""COMPUTED_VALUE"""),"ANCASH")</f>
        <v>ANCASH</v>
      </c>
      <c r="F150" s="25" t="str">
        <f ca="1">IFERROR(__xludf.DUMMYFUNCTION("""COMPUTED_VALUE"""),"HUARAZ")</f>
        <v>HUARAZ</v>
      </c>
      <c r="G150" s="25" t="str">
        <f ca="1">IFERROR(__xludf.DUMMYFUNCTION("""COMPUTED_VALUE"""),"PIRA")</f>
        <v>PIRA</v>
      </c>
      <c r="H150" s="25" t="str">
        <f ca="1">IFERROR(__xludf.DUMMYFUNCTION("""COMPUTED_VALUE"""),"RURAL")</f>
        <v>RURAL</v>
      </c>
      <c r="I150" s="25" t="str">
        <f ca="1">IFERROR(__xludf.DUMMYFUNCTION("""COMPUTED_VALUE"""),"Prioridad 5")</f>
        <v>Prioridad 5</v>
      </c>
      <c r="J150" s="43" t="s">
        <v>261</v>
      </c>
    </row>
    <row r="151" spans="1:10">
      <c r="A151" s="44">
        <f ca="1">IFERROR(__xludf.DUMMYFUNCTION("""COMPUTED_VALUE"""),43959)</f>
        <v>43959</v>
      </c>
      <c r="B151" s="25" t="str">
        <f ca="1">IFERROR(__xludf.DUMMYFUNCTION("""COMPUTED_VALUE"""),"MUNICIPALIDAD DISTRITAL")</f>
        <v>MUNICIPALIDAD DISTRITAL</v>
      </c>
      <c r="C151" s="25" t="str">
        <f ca="1">IFERROR(__xludf.DUMMYFUNCTION("""COMPUTED_VALUE"""),"MUNICIPALIDAD DISTRITAL DE TARICA")</f>
        <v>MUNICIPALIDAD DISTRITAL DE TARICA</v>
      </c>
      <c r="D151" s="25" t="str">
        <f ca="1">IFERROR(__xludf.DUMMYFUNCTION("""COMPUTED_VALUE"""),"LA LIBERTAD")</f>
        <v>LA LIBERTAD</v>
      </c>
      <c r="E151" s="25" t="str">
        <f ca="1">IFERROR(__xludf.DUMMYFUNCTION("""COMPUTED_VALUE"""),"ANCASH")</f>
        <v>ANCASH</v>
      </c>
      <c r="F151" s="25" t="str">
        <f ca="1">IFERROR(__xludf.DUMMYFUNCTION("""COMPUTED_VALUE"""),"HUARAZ")</f>
        <v>HUARAZ</v>
      </c>
      <c r="G151" s="25" t="str">
        <f ca="1">IFERROR(__xludf.DUMMYFUNCTION("""COMPUTED_VALUE"""),"TARICA")</f>
        <v>TARICA</v>
      </c>
      <c r="H151" s="25" t="str">
        <f ca="1">IFERROR(__xludf.DUMMYFUNCTION("""COMPUTED_VALUE"""),"RURAL")</f>
        <v>RURAL</v>
      </c>
      <c r="I151" s="25" t="str">
        <f ca="1">IFERROR(__xludf.DUMMYFUNCTION("""COMPUTED_VALUE"""),"Prioridad 3")</f>
        <v>Prioridad 3</v>
      </c>
      <c r="J151" s="43" t="s">
        <v>261</v>
      </c>
    </row>
    <row r="152" spans="1:10">
      <c r="A152" s="44">
        <f ca="1">IFERROR(__xludf.DUMMYFUNCTION("""COMPUTED_VALUE"""),43960)</f>
        <v>43960</v>
      </c>
      <c r="B152" s="25" t="str">
        <f ca="1">IFERROR(__xludf.DUMMYFUNCTION("""COMPUTED_VALUE"""),"GOBIERNO REGIONAL")</f>
        <v>GOBIERNO REGIONAL</v>
      </c>
      <c r="C152" s="25" t="str">
        <f ca="1">IFERROR(__xludf.DUMMYFUNCTION("""COMPUTED_VALUE"""),"GOBIERNO REGIONAL DE ANCASH")</f>
        <v>GOBIERNO REGIONAL DE ANCASH</v>
      </c>
      <c r="D152" s="25" t="str">
        <f ca="1">IFERROR(__xludf.DUMMYFUNCTION("""COMPUTED_VALUE"""),"LA LIBERTAD")</f>
        <v>LA LIBERTAD</v>
      </c>
      <c r="E152" s="25" t="str">
        <f ca="1">IFERROR(__xludf.DUMMYFUNCTION("""COMPUTED_VALUE"""),"ANCASH")</f>
        <v>ANCASH</v>
      </c>
      <c r="F152" s="25" t="str">
        <f ca="1">IFERROR(__xludf.DUMMYFUNCTION("""COMPUTED_VALUE"""),"HUARAZ")</f>
        <v>HUARAZ</v>
      </c>
      <c r="G152" s="25" t="str">
        <f ca="1">IFERROR(__xludf.DUMMYFUNCTION("""COMPUTED_VALUE"""),"HUARAZ")</f>
        <v>HUARAZ</v>
      </c>
      <c r="H152" s="25" t="str">
        <f ca="1">IFERROR(__xludf.DUMMYFUNCTION("""COMPUTED_VALUE"""),"URBANO")</f>
        <v>URBANO</v>
      </c>
      <c r="I152" s="25" t="str">
        <f ca="1">IFERROR(__xludf.DUMMYFUNCTION("""COMPUTED_VALUE"""),"Prioridad 1")</f>
        <v>Prioridad 1</v>
      </c>
      <c r="J152" s="43" t="s">
        <v>261</v>
      </c>
    </row>
    <row r="153" spans="1:10">
      <c r="A153" s="44">
        <f ca="1">IFERROR(__xludf.DUMMYFUNCTION("""COMPUTED_VALUE"""),43961)</f>
        <v>43961</v>
      </c>
      <c r="B153" s="25" t="str">
        <f ca="1">IFERROR(__xludf.DUMMYFUNCTION("""COMPUTED_VALUE"""),"MUNICIPALIDAD PROVINCIAL")</f>
        <v>MUNICIPALIDAD PROVINCIAL</v>
      </c>
      <c r="C153" s="25" t="str">
        <f ca="1">IFERROR(__xludf.DUMMYFUNCTION("""COMPUTED_VALUE"""),"MUNICIPALIDAD PROVINCIAL DE HUARI")</f>
        <v>MUNICIPALIDAD PROVINCIAL DE HUARI</v>
      </c>
      <c r="D153" s="25" t="str">
        <f ca="1">IFERROR(__xludf.DUMMYFUNCTION("""COMPUTED_VALUE"""),"SEDE CENTRAL")</f>
        <v>SEDE CENTRAL</v>
      </c>
      <c r="E153" s="25" t="str">
        <f ca="1">IFERROR(__xludf.DUMMYFUNCTION("""COMPUTED_VALUE"""),"ANCASH")</f>
        <v>ANCASH</v>
      </c>
      <c r="F153" s="25" t="str">
        <f ca="1">IFERROR(__xludf.DUMMYFUNCTION("""COMPUTED_VALUE"""),"HUARI")</f>
        <v>HUARI</v>
      </c>
      <c r="G153" s="25" t="str">
        <f ca="1">IFERROR(__xludf.DUMMYFUNCTION("""COMPUTED_VALUE"""),"HUARI")</f>
        <v>HUARI</v>
      </c>
      <c r="H153" s="25" t="str">
        <f ca="1">IFERROR(__xludf.DUMMYFUNCTION("""COMPUTED_VALUE"""),"URBANO")</f>
        <v>URBANO</v>
      </c>
      <c r="I153" s="25" t="str">
        <f ca="1">IFERROR(__xludf.DUMMYFUNCTION("""COMPUTED_VALUE"""),"Prioridad 1")</f>
        <v>Prioridad 1</v>
      </c>
      <c r="J153" s="43" t="s">
        <v>261</v>
      </c>
    </row>
    <row r="154" spans="1:10">
      <c r="A154" s="44">
        <f ca="1">IFERROR(__xludf.DUMMYFUNCTION("""COMPUTED_VALUE"""),43962)</f>
        <v>43962</v>
      </c>
      <c r="B154" s="25" t="str">
        <f ca="1">IFERROR(__xludf.DUMMYFUNCTION("""COMPUTED_VALUE"""),"MUNICIPALIDAD DISTRITAL")</f>
        <v>MUNICIPALIDAD DISTRITAL</v>
      </c>
      <c r="C154" s="25" t="str">
        <f ca="1">IFERROR(__xludf.DUMMYFUNCTION("""COMPUTED_VALUE"""),"MUNICIPALIDAD DISTRITAL DE ANRA")</f>
        <v>MUNICIPALIDAD DISTRITAL DE ANRA</v>
      </c>
      <c r="D154" s="25" t="str">
        <f ca="1">IFERROR(__xludf.DUMMYFUNCTION("""COMPUTED_VALUE"""),"SEDE CENTRAL")</f>
        <v>SEDE CENTRAL</v>
      </c>
      <c r="E154" s="25" t="str">
        <f ca="1">IFERROR(__xludf.DUMMYFUNCTION("""COMPUTED_VALUE"""),"ANCASH")</f>
        <v>ANCASH</v>
      </c>
      <c r="F154" s="25" t="str">
        <f ca="1">IFERROR(__xludf.DUMMYFUNCTION("""COMPUTED_VALUE"""),"HUARI")</f>
        <v>HUARI</v>
      </c>
      <c r="G154" s="25" t="str">
        <f ca="1">IFERROR(__xludf.DUMMYFUNCTION("""COMPUTED_VALUE"""),"ANRA")</f>
        <v>ANRA</v>
      </c>
      <c r="H154" s="25" t="str">
        <f ca="1">IFERROR(__xludf.DUMMYFUNCTION("""COMPUTED_VALUE"""),"RURAL")</f>
        <v>RURAL</v>
      </c>
      <c r="I154" s="25" t="str">
        <f ca="1">IFERROR(__xludf.DUMMYFUNCTION("""COMPUTED_VALUE"""),"Prioridad 3")</f>
        <v>Prioridad 3</v>
      </c>
      <c r="J154" s="43" t="s">
        <v>261</v>
      </c>
    </row>
    <row r="155" spans="1:10">
      <c r="A155" s="44">
        <f ca="1">IFERROR(__xludf.DUMMYFUNCTION("""COMPUTED_VALUE"""),43963)</f>
        <v>43963</v>
      </c>
      <c r="B155" s="25" t="str">
        <f ca="1">IFERROR(__xludf.DUMMYFUNCTION("""COMPUTED_VALUE"""),"MUNICIPALIDAD DISTRITAL")</f>
        <v>MUNICIPALIDAD DISTRITAL</v>
      </c>
      <c r="C155" s="25" t="str">
        <f ca="1">IFERROR(__xludf.DUMMYFUNCTION("""COMPUTED_VALUE"""),"MUNICIPALIDAD DISTRITAL DE CAJAY")</f>
        <v>MUNICIPALIDAD DISTRITAL DE CAJAY</v>
      </c>
      <c r="D155" s="25" t="str">
        <f ca="1">IFERROR(__xludf.DUMMYFUNCTION("""COMPUTED_VALUE"""),"SEDE CENTRAL")</f>
        <v>SEDE CENTRAL</v>
      </c>
      <c r="E155" s="25" t="str">
        <f ca="1">IFERROR(__xludf.DUMMYFUNCTION("""COMPUTED_VALUE"""),"ANCASH")</f>
        <v>ANCASH</v>
      </c>
      <c r="F155" s="25" t="str">
        <f ca="1">IFERROR(__xludf.DUMMYFUNCTION("""COMPUTED_VALUE"""),"HUARI")</f>
        <v>HUARI</v>
      </c>
      <c r="G155" s="25" t="str">
        <f ca="1">IFERROR(__xludf.DUMMYFUNCTION("""COMPUTED_VALUE"""),"CAJAY")</f>
        <v>CAJAY</v>
      </c>
      <c r="H155" s="25" t="str">
        <f ca="1">IFERROR(__xludf.DUMMYFUNCTION("""COMPUTED_VALUE"""),"RURAL")</f>
        <v>RURAL</v>
      </c>
      <c r="I155" s="25" t="str">
        <f ca="1">IFERROR(__xludf.DUMMYFUNCTION("""COMPUTED_VALUE"""),"Prioridad 5")</f>
        <v>Prioridad 5</v>
      </c>
      <c r="J155" s="43" t="s">
        <v>261</v>
      </c>
    </row>
    <row r="156" spans="1:10">
      <c r="A156" s="44">
        <f ca="1">IFERROR(__xludf.DUMMYFUNCTION("""COMPUTED_VALUE"""),43964)</f>
        <v>43964</v>
      </c>
      <c r="B156" s="25" t="str">
        <f ca="1">IFERROR(__xludf.DUMMYFUNCTION("""COMPUTED_VALUE"""),"MUNICIPALIDAD DISTRITAL")</f>
        <v>MUNICIPALIDAD DISTRITAL</v>
      </c>
      <c r="C156" s="25" t="str">
        <f ca="1">IFERROR(__xludf.DUMMYFUNCTION("""COMPUTED_VALUE"""),"MUNICIPALIDAD DISTRITAL DE CHAVIN DE HUANTAR")</f>
        <v>MUNICIPALIDAD DISTRITAL DE CHAVIN DE HUANTAR</v>
      </c>
      <c r="D156" s="25" t="str">
        <f ca="1">IFERROR(__xludf.DUMMYFUNCTION("""COMPUTED_VALUE"""),"SEDE CENTRAL")</f>
        <v>SEDE CENTRAL</v>
      </c>
      <c r="E156" s="25" t="str">
        <f ca="1">IFERROR(__xludf.DUMMYFUNCTION("""COMPUTED_VALUE"""),"ANCASH")</f>
        <v>ANCASH</v>
      </c>
      <c r="F156" s="25" t="str">
        <f ca="1">IFERROR(__xludf.DUMMYFUNCTION("""COMPUTED_VALUE"""),"HUARI")</f>
        <v>HUARI</v>
      </c>
      <c r="G156" s="25" t="str">
        <f ca="1">IFERROR(__xludf.DUMMYFUNCTION("""COMPUTED_VALUE"""),"CHAVIN DE HUANTAR")</f>
        <v>CHAVIN DE HUANTAR</v>
      </c>
      <c r="H156" s="25" t="str">
        <f ca="1">IFERROR(__xludf.DUMMYFUNCTION("""COMPUTED_VALUE"""),"RURAL")</f>
        <v>RURAL</v>
      </c>
      <c r="I156" s="25" t="str">
        <f ca="1">IFERROR(__xludf.DUMMYFUNCTION("""COMPUTED_VALUE"""),"Prioridad 3")</f>
        <v>Prioridad 3</v>
      </c>
      <c r="J156" s="43" t="s">
        <v>261</v>
      </c>
    </row>
    <row r="157" spans="1:10">
      <c r="A157" s="44">
        <f ca="1">IFERROR(__xludf.DUMMYFUNCTION("""COMPUTED_VALUE"""),43965)</f>
        <v>43965</v>
      </c>
      <c r="B157" s="25" t="str">
        <f ca="1">IFERROR(__xludf.DUMMYFUNCTION("""COMPUTED_VALUE"""),"MUNICIPALIDAD DISTRITAL")</f>
        <v>MUNICIPALIDAD DISTRITAL</v>
      </c>
      <c r="C157" s="25" t="str">
        <f ca="1">IFERROR(__xludf.DUMMYFUNCTION("""COMPUTED_VALUE"""),"MUNICIPALIDAD DISTRITAL DE HUACACHI")</f>
        <v>MUNICIPALIDAD DISTRITAL DE HUACACHI</v>
      </c>
      <c r="D157" s="25" t="str">
        <f ca="1">IFERROR(__xludf.DUMMYFUNCTION("""COMPUTED_VALUE"""),"SEDE CENTRAL")</f>
        <v>SEDE CENTRAL</v>
      </c>
      <c r="E157" s="25" t="str">
        <f ca="1">IFERROR(__xludf.DUMMYFUNCTION("""COMPUTED_VALUE"""),"ANCASH")</f>
        <v>ANCASH</v>
      </c>
      <c r="F157" s="25" t="str">
        <f ca="1">IFERROR(__xludf.DUMMYFUNCTION("""COMPUTED_VALUE"""),"HUARI")</f>
        <v>HUARI</v>
      </c>
      <c r="G157" s="25" t="str">
        <f ca="1">IFERROR(__xludf.DUMMYFUNCTION("""COMPUTED_VALUE"""),"HUACACHI")</f>
        <v>HUACACHI</v>
      </c>
      <c r="H157" s="25" t="str">
        <f ca="1">IFERROR(__xludf.DUMMYFUNCTION("""COMPUTED_VALUE"""),"RURAL")</f>
        <v>RURAL</v>
      </c>
      <c r="I157" s="25" t="str">
        <f ca="1">IFERROR(__xludf.DUMMYFUNCTION("""COMPUTED_VALUE"""),"Prioridad 3")</f>
        <v>Prioridad 3</v>
      </c>
      <c r="J157" s="43" t="s">
        <v>261</v>
      </c>
    </row>
    <row r="158" spans="1:10">
      <c r="A158" s="44">
        <f ca="1">IFERROR(__xludf.DUMMYFUNCTION("""COMPUTED_VALUE"""),43966)</f>
        <v>43966</v>
      </c>
      <c r="B158" s="25" t="str">
        <f ca="1">IFERROR(__xludf.DUMMYFUNCTION("""COMPUTED_VALUE"""),"MUNICIPALIDAD DISTRITAL")</f>
        <v>MUNICIPALIDAD DISTRITAL</v>
      </c>
      <c r="C158" s="25" t="str">
        <f ca="1">IFERROR(__xludf.DUMMYFUNCTION("""COMPUTED_VALUE"""),"MUNICIPALIDAD DISTRITAL DE HUACCHIS")</f>
        <v>MUNICIPALIDAD DISTRITAL DE HUACCHIS</v>
      </c>
      <c r="D158" s="25" t="str">
        <f ca="1">IFERROR(__xludf.DUMMYFUNCTION("""COMPUTED_VALUE"""),"SEDE CENTRAL")</f>
        <v>SEDE CENTRAL</v>
      </c>
      <c r="E158" s="25" t="str">
        <f ca="1">IFERROR(__xludf.DUMMYFUNCTION("""COMPUTED_VALUE"""),"ANCASH")</f>
        <v>ANCASH</v>
      </c>
      <c r="F158" s="25" t="str">
        <f ca="1">IFERROR(__xludf.DUMMYFUNCTION("""COMPUTED_VALUE"""),"HUARI")</f>
        <v>HUARI</v>
      </c>
      <c r="G158" s="25" t="str">
        <f ca="1">IFERROR(__xludf.DUMMYFUNCTION("""COMPUTED_VALUE"""),"HUACCHIS")</f>
        <v>HUACCHIS</v>
      </c>
      <c r="H158" s="25" t="str">
        <f ca="1">IFERROR(__xludf.DUMMYFUNCTION("""COMPUTED_VALUE"""),"RURAL")</f>
        <v>RURAL</v>
      </c>
      <c r="I158" s="25" t="str">
        <f ca="1">IFERROR(__xludf.DUMMYFUNCTION("""COMPUTED_VALUE"""),"Prioridad 5")</f>
        <v>Prioridad 5</v>
      </c>
      <c r="J158" s="43" t="s">
        <v>261</v>
      </c>
    </row>
    <row r="159" spans="1:10">
      <c r="A159" s="44">
        <f ca="1">IFERROR(__xludf.DUMMYFUNCTION("""COMPUTED_VALUE"""),43967)</f>
        <v>43967</v>
      </c>
      <c r="B159" s="25" t="str">
        <f ca="1">IFERROR(__xludf.DUMMYFUNCTION("""COMPUTED_VALUE"""),"MUNICIPALIDAD DISTRITAL")</f>
        <v>MUNICIPALIDAD DISTRITAL</v>
      </c>
      <c r="C159" s="25" t="str">
        <f ca="1">IFERROR(__xludf.DUMMYFUNCTION("""COMPUTED_VALUE"""),"MUNICIPALIDAD DISTRITAL DE HUACHIS")</f>
        <v>MUNICIPALIDAD DISTRITAL DE HUACHIS</v>
      </c>
      <c r="D159" s="25" t="str">
        <f ca="1">IFERROR(__xludf.DUMMYFUNCTION("""COMPUTED_VALUE"""),"SEDE CENTRAL")</f>
        <v>SEDE CENTRAL</v>
      </c>
      <c r="E159" s="25" t="str">
        <f ca="1">IFERROR(__xludf.DUMMYFUNCTION("""COMPUTED_VALUE"""),"ANCASH")</f>
        <v>ANCASH</v>
      </c>
      <c r="F159" s="25" t="str">
        <f ca="1">IFERROR(__xludf.DUMMYFUNCTION("""COMPUTED_VALUE"""),"HUARI")</f>
        <v>HUARI</v>
      </c>
      <c r="G159" s="25" t="str">
        <f ca="1">IFERROR(__xludf.DUMMYFUNCTION("""COMPUTED_VALUE"""),"HUACHIS")</f>
        <v>HUACHIS</v>
      </c>
      <c r="H159" s="25" t="str">
        <f ca="1">IFERROR(__xludf.DUMMYFUNCTION("""COMPUTED_VALUE"""),"RURAL")</f>
        <v>RURAL</v>
      </c>
      <c r="I159" s="25" t="str">
        <f ca="1">IFERROR(__xludf.DUMMYFUNCTION("""COMPUTED_VALUE"""),"Prioridad 3")</f>
        <v>Prioridad 3</v>
      </c>
      <c r="J159" s="43" t="s">
        <v>261</v>
      </c>
    </row>
    <row r="160" spans="1:10">
      <c r="A160" s="44">
        <f ca="1">IFERROR(__xludf.DUMMYFUNCTION("""COMPUTED_VALUE"""),43968)</f>
        <v>43968</v>
      </c>
      <c r="B160" s="25" t="str">
        <f ca="1">IFERROR(__xludf.DUMMYFUNCTION("""COMPUTED_VALUE"""),"MUNICIPALIDAD DISTRITAL")</f>
        <v>MUNICIPALIDAD DISTRITAL</v>
      </c>
      <c r="C160" s="25" t="str">
        <f ca="1">IFERROR(__xludf.DUMMYFUNCTION("""COMPUTED_VALUE"""),"MUNICIPALIDAD DISTRITAL DE HUANTAR")</f>
        <v>MUNICIPALIDAD DISTRITAL DE HUANTAR</v>
      </c>
      <c r="D160" s="25" t="str">
        <f ca="1">IFERROR(__xludf.DUMMYFUNCTION("""COMPUTED_VALUE"""),"SEDE CENTRAL")</f>
        <v>SEDE CENTRAL</v>
      </c>
      <c r="E160" s="25" t="str">
        <f ca="1">IFERROR(__xludf.DUMMYFUNCTION("""COMPUTED_VALUE"""),"ANCASH")</f>
        <v>ANCASH</v>
      </c>
      <c r="F160" s="25" t="str">
        <f ca="1">IFERROR(__xludf.DUMMYFUNCTION("""COMPUTED_VALUE"""),"HUARI")</f>
        <v>HUARI</v>
      </c>
      <c r="G160" s="25" t="str">
        <f ca="1">IFERROR(__xludf.DUMMYFUNCTION("""COMPUTED_VALUE"""),"HUANTAR")</f>
        <v>HUANTAR</v>
      </c>
      <c r="H160" s="25" t="str">
        <f ca="1">IFERROR(__xludf.DUMMYFUNCTION("""COMPUTED_VALUE"""),"RURAL")</f>
        <v>RURAL</v>
      </c>
      <c r="I160" s="25" t="str">
        <f ca="1">IFERROR(__xludf.DUMMYFUNCTION("""COMPUTED_VALUE"""),"Prioridad 3")</f>
        <v>Prioridad 3</v>
      </c>
      <c r="J160" s="43" t="s">
        <v>261</v>
      </c>
    </row>
    <row r="161" spans="1:10">
      <c r="A161" s="44">
        <f ca="1">IFERROR(__xludf.DUMMYFUNCTION("""COMPUTED_VALUE"""),43969)</f>
        <v>43969</v>
      </c>
      <c r="B161" s="25" t="str">
        <f ca="1">IFERROR(__xludf.DUMMYFUNCTION("""COMPUTED_VALUE"""),"MUNICIPALIDAD DISTRITAL")</f>
        <v>MUNICIPALIDAD DISTRITAL</v>
      </c>
      <c r="C161" s="25" t="str">
        <f ca="1">IFERROR(__xludf.DUMMYFUNCTION("""COMPUTED_VALUE"""),"MUNICIPALIDAD DISTRITAL DE MASIN")</f>
        <v>MUNICIPALIDAD DISTRITAL DE MASIN</v>
      </c>
      <c r="D161" s="25" t="str">
        <f ca="1">IFERROR(__xludf.DUMMYFUNCTION("""COMPUTED_VALUE"""),"SEDE CENTRAL")</f>
        <v>SEDE CENTRAL</v>
      </c>
      <c r="E161" s="25" t="str">
        <f ca="1">IFERROR(__xludf.DUMMYFUNCTION("""COMPUTED_VALUE"""),"ANCASH")</f>
        <v>ANCASH</v>
      </c>
      <c r="F161" s="25" t="str">
        <f ca="1">IFERROR(__xludf.DUMMYFUNCTION("""COMPUTED_VALUE"""),"HUARI")</f>
        <v>HUARI</v>
      </c>
      <c r="G161" s="25" t="str">
        <f ca="1">IFERROR(__xludf.DUMMYFUNCTION("""COMPUTED_VALUE"""),"MASIN")</f>
        <v>MASIN</v>
      </c>
      <c r="H161" s="25" t="str">
        <f ca="1">IFERROR(__xludf.DUMMYFUNCTION("""COMPUTED_VALUE"""),"RURAL")</f>
        <v>RURAL</v>
      </c>
      <c r="I161" s="25" t="str">
        <f ca="1">IFERROR(__xludf.DUMMYFUNCTION("""COMPUTED_VALUE"""),"Prioridad 3")</f>
        <v>Prioridad 3</v>
      </c>
      <c r="J161" s="43" t="s">
        <v>261</v>
      </c>
    </row>
    <row r="162" spans="1:10">
      <c r="A162" s="44">
        <f ca="1">IFERROR(__xludf.DUMMYFUNCTION("""COMPUTED_VALUE"""),43970)</f>
        <v>43970</v>
      </c>
      <c r="B162" s="25" t="str">
        <f ca="1">IFERROR(__xludf.DUMMYFUNCTION("""COMPUTED_VALUE"""),"MUNICIPALIDAD DISTRITAL")</f>
        <v>MUNICIPALIDAD DISTRITAL</v>
      </c>
      <c r="C162" s="25" t="str">
        <f ca="1">IFERROR(__xludf.DUMMYFUNCTION("""COMPUTED_VALUE"""),"MUNICIPALIDAD DISTRITAL DE PAUCAS")</f>
        <v>MUNICIPALIDAD DISTRITAL DE PAUCAS</v>
      </c>
      <c r="D162" s="25" t="str">
        <f ca="1">IFERROR(__xludf.DUMMYFUNCTION("""COMPUTED_VALUE"""),"SEDE CENTRAL")</f>
        <v>SEDE CENTRAL</v>
      </c>
      <c r="E162" s="25" t="str">
        <f ca="1">IFERROR(__xludf.DUMMYFUNCTION("""COMPUTED_VALUE"""),"ANCASH")</f>
        <v>ANCASH</v>
      </c>
      <c r="F162" s="25" t="str">
        <f ca="1">IFERROR(__xludf.DUMMYFUNCTION("""COMPUTED_VALUE"""),"HUARI")</f>
        <v>HUARI</v>
      </c>
      <c r="G162" s="25" t="str">
        <f ca="1">IFERROR(__xludf.DUMMYFUNCTION("""COMPUTED_VALUE"""),"PAUCAS")</f>
        <v>PAUCAS</v>
      </c>
      <c r="H162" s="25" t="str">
        <f ca="1">IFERROR(__xludf.DUMMYFUNCTION("""COMPUTED_VALUE"""),"RURAL")</f>
        <v>RURAL</v>
      </c>
      <c r="I162" s="25" t="str">
        <f ca="1">IFERROR(__xludf.DUMMYFUNCTION("""COMPUTED_VALUE"""),"Prioridad 4")</f>
        <v>Prioridad 4</v>
      </c>
      <c r="J162" s="43" t="s">
        <v>261</v>
      </c>
    </row>
    <row r="163" spans="1:10">
      <c r="A163" s="44">
        <f ca="1">IFERROR(__xludf.DUMMYFUNCTION("""COMPUTED_VALUE"""),43971)</f>
        <v>43971</v>
      </c>
      <c r="B163" s="25" t="str">
        <f ca="1">IFERROR(__xludf.DUMMYFUNCTION("""COMPUTED_VALUE"""),"MUNICIPALIDAD DISTRITAL")</f>
        <v>MUNICIPALIDAD DISTRITAL</v>
      </c>
      <c r="C163" s="25" t="str">
        <f ca="1">IFERROR(__xludf.DUMMYFUNCTION("""COMPUTED_VALUE"""),"MUNICIPALIDAD DISTRITAL DE PONTO")</f>
        <v>MUNICIPALIDAD DISTRITAL DE PONTO</v>
      </c>
      <c r="D163" s="25" t="str">
        <f ca="1">IFERROR(__xludf.DUMMYFUNCTION("""COMPUTED_VALUE"""),"SEDE CENTRAL")</f>
        <v>SEDE CENTRAL</v>
      </c>
      <c r="E163" s="25" t="str">
        <f ca="1">IFERROR(__xludf.DUMMYFUNCTION("""COMPUTED_VALUE"""),"ANCASH")</f>
        <v>ANCASH</v>
      </c>
      <c r="F163" s="25" t="str">
        <f ca="1">IFERROR(__xludf.DUMMYFUNCTION("""COMPUTED_VALUE"""),"HUARI")</f>
        <v>HUARI</v>
      </c>
      <c r="G163" s="25" t="str">
        <f ca="1">IFERROR(__xludf.DUMMYFUNCTION("""COMPUTED_VALUE"""),"PONTO")</f>
        <v>PONTO</v>
      </c>
      <c r="H163" s="25" t="str">
        <f ca="1">IFERROR(__xludf.DUMMYFUNCTION("""COMPUTED_VALUE"""),"RURAL")</f>
        <v>RURAL</v>
      </c>
      <c r="I163" s="25" t="str">
        <f ca="1">IFERROR(__xludf.DUMMYFUNCTION("""COMPUTED_VALUE"""),"Prioridad 3")</f>
        <v>Prioridad 3</v>
      </c>
      <c r="J163" s="43" t="s">
        <v>261</v>
      </c>
    </row>
    <row r="164" spans="1:10">
      <c r="A164" s="44">
        <f ca="1">IFERROR(__xludf.DUMMYFUNCTION("""COMPUTED_VALUE"""),43972)</f>
        <v>43972</v>
      </c>
      <c r="B164" s="25" t="str">
        <f ca="1">IFERROR(__xludf.DUMMYFUNCTION("""COMPUTED_VALUE"""),"MUNICIPALIDAD DISTRITAL")</f>
        <v>MUNICIPALIDAD DISTRITAL</v>
      </c>
      <c r="C164" s="25" t="str">
        <f ca="1">IFERROR(__xludf.DUMMYFUNCTION("""COMPUTED_VALUE"""),"MUNICIPALIDAD DISTRITAL DE RAHUAPAMPA")</f>
        <v>MUNICIPALIDAD DISTRITAL DE RAHUAPAMPA</v>
      </c>
      <c r="D164" s="25" t="str">
        <f ca="1">IFERROR(__xludf.DUMMYFUNCTION("""COMPUTED_VALUE"""),"SEDE CENTRAL")</f>
        <v>SEDE CENTRAL</v>
      </c>
      <c r="E164" s="25" t="str">
        <f ca="1">IFERROR(__xludf.DUMMYFUNCTION("""COMPUTED_VALUE"""),"ANCASH")</f>
        <v>ANCASH</v>
      </c>
      <c r="F164" s="25" t="str">
        <f ca="1">IFERROR(__xludf.DUMMYFUNCTION("""COMPUTED_VALUE"""),"HUARI")</f>
        <v>HUARI</v>
      </c>
      <c r="G164" s="25" t="str">
        <f ca="1">IFERROR(__xludf.DUMMYFUNCTION("""COMPUTED_VALUE"""),"RAHUAPAMPA")</f>
        <v>RAHUAPAMPA</v>
      </c>
      <c r="H164" s="25" t="str">
        <f ca="1">IFERROR(__xludf.DUMMYFUNCTION("""COMPUTED_VALUE"""),"RURAL")</f>
        <v>RURAL</v>
      </c>
      <c r="I164" s="25" t="str">
        <f ca="1">IFERROR(__xludf.DUMMYFUNCTION("""COMPUTED_VALUE"""),"Prioridad 1")</f>
        <v>Prioridad 1</v>
      </c>
      <c r="J164" s="43" t="s">
        <v>261</v>
      </c>
    </row>
    <row r="165" spans="1:10">
      <c r="A165" s="44">
        <f ca="1">IFERROR(__xludf.DUMMYFUNCTION("""COMPUTED_VALUE"""),43973)</f>
        <v>43973</v>
      </c>
      <c r="B165" s="25" t="str">
        <f ca="1">IFERROR(__xludf.DUMMYFUNCTION("""COMPUTED_VALUE"""),"MUNICIPALIDAD DISTRITAL")</f>
        <v>MUNICIPALIDAD DISTRITAL</v>
      </c>
      <c r="C165" s="25" t="str">
        <f ca="1">IFERROR(__xludf.DUMMYFUNCTION("""COMPUTED_VALUE"""),"MUNICIPALIDAD DISTRITAL DE RAPAYAN")</f>
        <v>MUNICIPALIDAD DISTRITAL DE RAPAYAN</v>
      </c>
      <c r="D165" s="25" t="str">
        <f ca="1">IFERROR(__xludf.DUMMYFUNCTION("""COMPUTED_VALUE"""),"SEDE CENTRAL")</f>
        <v>SEDE CENTRAL</v>
      </c>
      <c r="E165" s="25" t="str">
        <f ca="1">IFERROR(__xludf.DUMMYFUNCTION("""COMPUTED_VALUE"""),"ANCASH")</f>
        <v>ANCASH</v>
      </c>
      <c r="F165" s="25" t="str">
        <f ca="1">IFERROR(__xludf.DUMMYFUNCTION("""COMPUTED_VALUE"""),"HUARI")</f>
        <v>HUARI</v>
      </c>
      <c r="G165" s="25" t="str">
        <f ca="1">IFERROR(__xludf.DUMMYFUNCTION("""COMPUTED_VALUE"""),"RAPAYAN")</f>
        <v>RAPAYAN</v>
      </c>
      <c r="H165" s="25" t="str">
        <f ca="1">IFERROR(__xludf.DUMMYFUNCTION("""COMPUTED_VALUE"""),"RURAL")</f>
        <v>RURAL</v>
      </c>
      <c r="I165" s="25" t="str">
        <f ca="1">IFERROR(__xludf.DUMMYFUNCTION("""COMPUTED_VALUE"""),"Prioridad 5")</f>
        <v>Prioridad 5</v>
      </c>
      <c r="J165" s="43" t="s">
        <v>261</v>
      </c>
    </row>
    <row r="166" spans="1:10">
      <c r="A166" s="44">
        <f ca="1">IFERROR(__xludf.DUMMYFUNCTION("""COMPUTED_VALUE"""),43974)</f>
        <v>43974</v>
      </c>
      <c r="B166" s="25" t="str">
        <f ca="1">IFERROR(__xludf.DUMMYFUNCTION("""COMPUTED_VALUE"""),"MUNICIPALIDAD DISTRITAL")</f>
        <v>MUNICIPALIDAD DISTRITAL</v>
      </c>
      <c r="C166" s="25" t="str">
        <f ca="1">IFERROR(__xludf.DUMMYFUNCTION("""COMPUTED_VALUE"""),"MUNICIPALIDAD DISTRITAL DE SAN MARCOS")</f>
        <v>MUNICIPALIDAD DISTRITAL DE SAN MARCOS</v>
      </c>
      <c r="D166" s="25" t="str">
        <f ca="1">IFERROR(__xludf.DUMMYFUNCTION("""COMPUTED_VALUE"""),"SEDE CENTRAL")</f>
        <v>SEDE CENTRAL</v>
      </c>
      <c r="E166" s="25" t="str">
        <f ca="1">IFERROR(__xludf.DUMMYFUNCTION("""COMPUTED_VALUE"""),"ANCASH")</f>
        <v>ANCASH</v>
      </c>
      <c r="F166" s="25" t="str">
        <f ca="1">IFERROR(__xludf.DUMMYFUNCTION("""COMPUTED_VALUE"""),"HUARI")</f>
        <v>HUARI</v>
      </c>
      <c r="G166" s="25" t="str">
        <f ca="1">IFERROR(__xludf.DUMMYFUNCTION("""COMPUTED_VALUE"""),"SAN MARCOS")</f>
        <v>SAN MARCOS</v>
      </c>
      <c r="H166" s="25" t="str">
        <f ca="1">IFERROR(__xludf.DUMMYFUNCTION("""COMPUTED_VALUE"""),"RURAL")</f>
        <v>RURAL</v>
      </c>
      <c r="I166" s="25" t="str">
        <f ca="1">IFERROR(__xludf.DUMMYFUNCTION("""COMPUTED_VALUE"""),"Prioridad 2")</f>
        <v>Prioridad 2</v>
      </c>
      <c r="J166" s="43" t="s">
        <v>261</v>
      </c>
    </row>
    <row r="167" spans="1:10">
      <c r="A167" s="44">
        <f ca="1">IFERROR(__xludf.DUMMYFUNCTION("""COMPUTED_VALUE"""),43975)</f>
        <v>43975</v>
      </c>
      <c r="B167" s="25" t="str">
        <f ca="1">IFERROR(__xludf.DUMMYFUNCTION("""COMPUTED_VALUE"""),"MUNICIPALIDAD DISTRITAL")</f>
        <v>MUNICIPALIDAD DISTRITAL</v>
      </c>
      <c r="C167" s="25" t="str">
        <f ca="1">IFERROR(__xludf.DUMMYFUNCTION("""COMPUTED_VALUE"""),"MUNICIPALIDAD DISTRITAL DE SAN PEDRO DE CHANA")</f>
        <v>MUNICIPALIDAD DISTRITAL DE SAN PEDRO DE CHANA</v>
      </c>
      <c r="D167" s="25" t="str">
        <f ca="1">IFERROR(__xludf.DUMMYFUNCTION("""COMPUTED_VALUE"""),"SEDE CENTRAL")</f>
        <v>SEDE CENTRAL</v>
      </c>
      <c r="E167" s="25" t="str">
        <f ca="1">IFERROR(__xludf.DUMMYFUNCTION("""COMPUTED_VALUE"""),"ANCASH")</f>
        <v>ANCASH</v>
      </c>
      <c r="F167" s="25" t="str">
        <f ca="1">IFERROR(__xludf.DUMMYFUNCTION("""COMPUTED_VALUE"""),"HUARI")</f>
        <v>HUARI</v>
      </c>
      <c r="G167" s="25" t="str">
        <f ca="1">IFERROR(__xludf.DUMMYFUNCTION("""COMPUTED_VALUE"""),"SAN PEDRO DE CHANA")</f>
        <v>SAN PEDRO DE CHANA</v>
      </c>
      <c r="H167" s="25" t="str">
        <f ca="1">IFERROR(__xludf.DUMMYFUNCTION("""COMPUTED_VALUE"""),"RURAL")</f>
        <v>RURAL</v>
      </c>
      <c r="I167" s="25" t="str">
        <f ca="1">IFERROR(__xludf.DUMMYFUNCTION("""COMPUTED_VALUE"""),"Prioridad 3")</f>
        <v>Prioridad 3</v>
      </c>
      <c r="J167" s="43" t="s">
        <v>261</v>
      </c>
    </row>
    <row r="168" spans="1:10">
      <c r="A168" s="44">
        <f ca="1">IFERROR(__xludf.DUMMYFUNCTION("""COMPUTED_VALUE"""),43976)</f>
        <v>43976</v>
      </c>
      <c r="B168" s="25" t="str">
        <f ca="1">IFERROR(__xludf.DUMMYFUNCTION("""COMPUTED_VALUE"""),"MUNICIPALIDAD DISTRITAL")</f>
        <v>MUNICIPALIDAD DISTRITAL</v>
      </c>
      <c r="C168" s="25" t="str">
        <f ca="1">IFERROR(__xludf.DUMMYFUNCTION("""COMPUTED_VALUE"""),"MUNICIPALIDAD DISTRITAL DE UCO")</f>
        <v>MUNICIPALIDAD DISTRITAL DE UCO</v>
      </c>
      <c r="D168" s="25" t="str">
        <f ca="1">IFERROR(__xludf.DUMMYFUNCTION("""COMPUTED_VALUE"""),"SEDE CENTRAL")</f>
        <v>SEDE CENTRAL</v>
      </c>
      <c r="E168" s="25" t="str">
        <f ca="1">IFERROR(__xludf.DUMMYFUNCTION("""COMPUTED_VALUE"""),"ANCASH")</f>
        <v>ANCASH</v>
      </c>
      <c r="F168" s="25" t="str">
        <f ca="1">IFERROR(__xludf.DUMMYFUNCTION("""COMPUTED_VALUE"""),"HUARI")</f>
        <v>HUARI</v>
      </c>
      <c r="G168" s="25" t="str">
        <f ca="1">IFERROR(__xludf.DUMMYFUNCTION("""COMPUTED_VALUE"""),"UCO")</f>
        <v>UCO</v>
      </c>
      <c r="H168" s="25" t="str">
        <f ca="1">IFERROR(__xludf.DUMMYFUNCTION("""COMPUTED_VALUE"""),"RURAL")</f>
        <v>RURAL</v>
      </c>
      <c r="I168" s="25" t="str">
        <f ca="1">IFERROR(__xludf.DUMMYFUNCTION("""COMPUTED_VALUE"""),"Prioridad 3")</f>
        <v>Prioridad 3</v>
      </c>
      <c r="J168" s="43" t="s">
        <v>261</v>
      </c>
    </row>
    <row r="169" spans="1:10">
      <c r="A169" s="44">
        <f ca="1">IFERROR(__xludf.DUMMYFUNCTION("""COMPUTED_VALUE"""),43977)</f>
        <v>43977</v>
      </c>
      <c r="B169" s="25" t="str">
        <f ca="1">IFERROR(__xludf.DUMMYFUNCTION("""COMPUTED_VALUE"""),"MUNICIPALIDAD PROVINCIAL")</f>
        <v>MUNICIPALIDAD PROVINCIAL</v>
      </c>
      <c r="C169" s="25" t="str">
        <f ca="1">IFERROR(__xludf.DUMMYFUNCTION("""COMPUTED_VALUE"""),"MUNICIPALIDAD PROVINCIAL DE HUARMEY")</f>
        <v>MUNICIPALIDAD PROVINCIAL DE HUARMEY</v>
      </c>
      <c r="D169" s="25" t="str">
        <f ca="1">IFERROR(__xludf.DUMMYFUNCTION("""COMPUTED_VALUE"""),"LA LIBERTAD")</f>
        <v>LA LIBERTAD</v>
      </c>
      <c r="E169" s="25" t="str">
        <f ca="1">IFERROR(__xludf.DUMMYFUNCTION("""COMPUTED_VALUE"""),"ANCASH")</f>
        <v>ANCASH</v>
      </c>
      <c r="F169" s="25" t="str">
        <f ca="1">IFERROR(__xludf.DUMMYFUNCTION("""COMPUTED_VALUE"""),"HUARMEY")</f>
        <v>HUARMEY</v>
      </c>
      <c r="G169" s="25" t="str">
        <f ca="1">IFERROR(__xludf.DUMMYFUNCTION("""COMPUTED_VALUE"""),"HUARMEY")</f>
        <v>HUARMEY</v>
      </c>
      <c r="H169" s="25" t="str">
        <f ca="1">IFERROR(__xludf.DUMMYFUNCTION("""COMPUTED_VALUE"""),"URBANO")</f>
        <v>URBANO</v>
      </c>
      <c r="I169" s="25" t="str">
        <f ca="1">IFERROR(__xludf.DUMMYFUNCTION("""COMPUTED_VALUE"""),"Prioridad 1")</f>
        <v>Prioridad 1</v>
      </c>
      <c r="J169" s="43" t="s">
        <v>261</v>
      </c>
    </row>
    <row r="170" spans="1:10">
      <c r="A170" s="44">
        <f ca="1">IFERROR(__xludf.DUMMYFUNCTION("""COMPUTED_VALUE"""),43978)</f>
        <v>43978</v>
      </c>
      <c r="B170" s="25" t="str">
        <f ca="1">IFERROR(__xludf.DUMMYFUNCTION("""COMPUTED_VALUE"""),"MUNICIPALIDAD DISTRITAL")</f>
        <v>MUNICIPALIDAD DISTRITAL</v>
      </c>
      <c r="C170" s="25" t="str">
        <f ca="1">IFERROR(__xludf.DUMMYFUNCTION("""COMPUTED_VALUE"""),"MUNICIPALIDAD DISTRITAL DE COCHAPETI")</f>
        <v>MUNICIPALIDAD DISTRITAL DE COCHAPETI</v>
      </c>
      <c r="D170" s="25" t="str">
        <f ca="1">IFERROR(__xludf.DUMMYFUNCTION("""COMPUTED_VALUE"""),"LA LIBERTAD")</f>
        <v>LA LIBERTAD</v>
      </c>
      <c r="E170" s="25" t="str">
        <f ca="1">IFERROR(__xludf.DUMMYFUNCTION("""COMPUTED_VALUE"""),"ANCASH")</f>
        <v>ANCASH</v>
      </c>
      <c r="F170" s="25" t="str">
        <f ca="1">IFERROR(__xludf.DUMMYFUNCTION("""COMPUTED_VALUE"""),"HUARMEY")</f>
        <v>HUARMEY</v>
      </c>
      <c r="G170" s="25" t="str">
        <f ca="1">IFERROR(__xludf.DUMMYFUNCTION("""COMPUTED_VALUE"""),"COCHAPETI")</f>
        <v>COCHAPETI</v>
      </c>
      <c r="H170" s="25" t="str">
        <f ca="1">IFERROR(__xludf.DUMMYFUNCTION("""COMPUTED_VALUE"""),"RURAL")</f>
        <v>RURAL</v>
      </c>
      <c r="I170" s="25" t="str">
        <f ca="1">IFERROR(__xludf.DUMMYFUNCTION("""COMPUTED_VALUE"""),"Prioridad 5")</f>
        <v>Prioridad 5</v>
      </c>
      <c r="J170" s="43" t="s">
        <v>261</v>
      </c>
    </row>
    <row r="171" spans="1:10">
      <c r="A171" s="44">
        <f ca="1">IFERROR(__xludf.DUMMYFUNCTION("""COMPUTED_VALUE"""),43979)</f>
        <v>43979</v>
      </c>
      <c r="B171" s="25" t="str">
        <f ca="1">IFERROR(__xludf.DUMMYFUNCTION("""COMPUTED_VALUE"""),"MUNICIPALIDAD DISTRITAL")</f>
        <v>MUNICIPALIDAD DISTRITAL</v>
      </c>
      <c r="C171" s="25" t="str">
        <f ca="1">IFERROR(__xludf.DUMMYFUNCTION("""COMPUTED_VALUE"""),"MUNICIPALIDAD DISTRITAL DE CULEBRAS")</f>
        <v>MUNICIPALIDAD DISTRITAL DE CULEBRAS</v>
      </c>
      <c r="D171" s="25" t="str">
        <f ca="1">IFERROR(__xludf.DUMMYFUNCTION("""COMPUTED_VALUE"""),"LA LIBERTAD")</f>
        <v>LA LIBERTAD</v>
      </c>
      <c r="E171" s="25" t="str">
        <f ca="1">IFERROR(__xludf.DUMMYFUNCTION("""COMPUTED_VALUE"""),"ANCASH")</f>
        <v>ANCASH</v>
      </c>
      <c r="F171" s="25" t="str">
        <f ca="1">IFERROR(__xludf.DUMMYFUNCTION("""COMPUTED_VALUE"""),"HUARMEY")</f>
        <v>HUARMEY</v>
      </c>
      <c r="G171" s="25" t="str">
        <f ca="1">IFERROR(__xludf.DUMMYFUNCTION("""COMPUTED_VALUE"""),"CULEBRAS")</f>
        <v>CULEBRAS</v>
      </c>
      <c r="H171" s="25" t="str">
        <f ca="1">IFERROR(__xludf.DUMMYFUNCTION("""COMPUTED_VALUE"""),"RURAL")</f>
        <v>RURAL</v>
      </c>
      <c r="I171" s="25" t="str">
        <f ca="1">IFERROR(__xludf.DUMMYFUNCTION("""COMPUTED_VALUE"""),"Prioridad 3")</f>
        <v>Prioridad 3</v>
      </c>
      <c r="J171" s="43" t="s">
        <v>261</v>
      </c>
    </row>
    <row r="172" spans="1:10">
      <c r="A172" s="44">
        <f ca="1">IFERROR(__xludf.DUMMYFUNCTION("""COMPUTED_VALUE"""),43980)</f>
        <v>43980</v>
      </c>
      <c r="B172" s="25" t="str">
        <f ca="1">IFERROR(__xludf.DUMMYFUNCTION("""COMPUTED_VALUE"""),"MUNICIPALIDAD DISTRITAL")</f>
        <v>MUNICIPALIDAD DISTRITAL</v>
      </c>
      <c r="C172" s="25" t="str">
        <f ca="1">IFERROR(__xludf.DUMMYFUNCTION("""COMPUTED_VALUE"""),"MUNICIPALIDAD DISTRITAL DE HUAYAN")</f>
        <v>MUNICIPALIDAD DISTRITAL DE HUAYAN</v>
      </c>
      <c r="D172" s="25" t="str">
        <f ca="1">IFERROR(__xludf.DUMMYFUNCTION("""COMPUTED_VALUE"""),"LA LIBERTAD")</f>
        <v>LA LIBERTAD</v>
      </c>
      <c r="E172" s="25" t="str">
        <f ca="1">IFERROR(__xludf.DUMMYFUNCTION("""COMPUTED_VALUE"""),"ANCASH")</f>
        <v>ANCASH</v>
      </c>
      <c r="F172" s="25" t="str">
        <f ca="1">IFERROR(__xludf.DUMMYFUNCTION("""COMPUTED_VALUE"""),"HUARMEY")</f>
        <v>HUARMEY</v>
      </c>
      <c r="G172" s="25" t="str">
        <f ca="1">IFERROR(__xludf.DUMMYFUNCTION("""COMPUTED_VALUE"""),"HUAYAN")</f>
        <v>HUAYAN</v>
      </c>
      <c r="H172" s="25" t="str">
        <f ca="1">IFERROR(__xludf.DUMMYFUNCTION("""COMPUTED_VALUE"""),"RURAL")</f>
        <v>RURAL</v>
      </c>
      <c r="I172" s="25" t="str">
        <f ca="1">IFERROR(__xludf.DUMMYFUNCTION("""COMPUTED_VALUE"""),"Prioridad 5")</f>
        <v>Prioridad 5</v>
      </c>
      <c r="J172" s="43" t="s">
        <v>261</v>
      </c>
    </row>
    <row r="173" spans="1:10">
      <c r="A173" s="44">
        <f ca="1">IFERROR(__xludf.DUMMYFUNCTION("""COMPUTED_VALUE"""),43981)</f>
        <v>43981</v>
      </c>
      <c r="B173" s="25" t="str">
        <f ca="1">IFERROR(__xludf.DUMMYFUNCTION("""COMPUTED_VALUE"""),"MUNICIPALIDAD DISTRITAL")</f>
        <v>MUNICIPALIDAD DISTRITAL</v>
      </c>
      <c r="C173" s="25" t="str">
        <f ca="1">IFERROR(__xludf.DUMMYFUNCTION("""COMPUTED_VALUE"""),"MUNICIPALIDAD DISTRITAL DE MALVAS")</f>
        <v>MUNICIPALIDAD DISTRITAL DE MALVAS</v>
      </c>
      <c r="D173" s="25" t="str">
        <f ca="1">IFERROR(__xludf.DUMMYFUNCTION("""COMPUTED_VALUE"""),"LA LIBERTAD")</f>
        <v>LA LIBERTAD</v>
      </c>
      <c r="E173" s="25" t="str">
        <f ca="1">IFERROR(__xludf.DUMMYFUNCTION("""COMPUTED_VALUE"""),"ANCASH")</f>
        <v>ANCASH</v>
      </c>
      <c r="F173" s="25" t="str">
        <f ca="1">IFERROR(__xludf.DUMMYFUNCTION("""COMPUTED_VALUE"""),"HUARMEY")</f>
        <v>HUARMEY</v>
      </c>
      <c r="G173" s="25" t="str">
        <f ca="1">IFERROR(__xludf.DUMMYFUNCTION("""COMPUTED_VALUE"""),"MALVAS")</f>
        <v>MALVAS</v>
      </c>
      <c r="H173" s="25" t="str">
        <f ca="1">IFERROR(__xludf.DUMMYFUNCTION("""COMPUTED_VALUE"""),"RURAL")</f>
        <v>RURAL</v>
      </c>
      <c r="I173" s="25" t="str">
        <f ca="1">IFERROR(__xludf.DUMMYFUNCTION("""COMPUTED_VALUE"""),"Prioridad 5")</f>
        <v>Prioridad 5</v>
      </c>
      <c r="J173" s="43" t="s">
        <v>261</v>
      </c>
    </row>
    <row r="174" spans="1:10">
      <c r="A174" s="44">
        <f ca="1">IFERROR(__xludf.DUMMYFUNCTION("""COMPUTED_VALUE"""),43982)</f>
        <v>43982</v>
      </c>
      <c r="B174" s="25" t="str">
        <f ca="1">IFERROR(__xludf.DUMMYFUNCTION("""COMPUTED_VALUE"""),"MUNICIPALIDAD PROVINCIAL")</f>
        <v>MUNICIPALIDAD PROVINCIAL</v>
      </c>
      <c r="C174" s="25" t="str">
        <f ca="1">IFERROR(__xludf.DUMMYFUNCTION("""COMPUTED_VALUE"""),"MUNICIPALIDAD PROVINCIAL DE HUAYLAS")</f>
        <v>MUNICIPALIDAD PROVINCIAL DE HUAYLAS</v>
      </c>
      <c r="D174" s="25" t="str">
        <f ca="1">IFERROR(__xludf.DUMMYFUNCTION("""COMPUTED_VALUE"""),"LA LIBERTAD")</f>
        <v>LA LIBERTAD</v>
      </c>
      <c r="E174" s="25" t="str">
        <f ca="1">IFERROR(__xludf.DUMMYFUNCTION("""COMPUTED_VALUE"""),"ANCASH")</f>
        <v>ANCASH</v>
      </c>
      <c r="F174" s="25" t="str">
        <f ca="1">IFERROR(__xludf.DUMMYFUNCTION("""COMPUTED_VALUE"""),"HUAYLAS")</f>
        <v>HUAYLAS</v>
      </c>
      <c r="G174" s="25" t="str">
        <f ca="1">IFERROR(__xludf.DUMMYFUNCTION("""COMPUTED_VALUE"""),"CARAZ")</f>
        <v>CARAZ</v>
      </c>
      <c r="H174" s="25" t="str">
        <f ca="1">IFERROR(__xludf.DUMMYFUNCTION("""COMPUTED_VALUE"""),"URBANO")</f>
        <v>URBANO</v>
      </c>
      <c r="I174" s="25" t="str">
        <f ca="1">IFERROR(__xludf.DUMMYFUNCTION("""COMPUTED_VALUE"""),"Prioridad 1")</f>
        <v>Prioridad 1</v>
      </c>
      <c r="J174" s="43" t="s">
        <v>261</v>
      </c>
    </row>
    <row r="175" spans="1:10">
      <c r="A175" s="44">
        <f ca="1">IFERROR(__xludf.DUMMYFUNCTION("""COMPUTED_VALUE"""),43983)</f>
        <v>43983</v>
      </c>
      <c r="B175" s="25" t="str">
        <f ca="1">IFERROR(__xludf.DUMMYFUNCTION("""COMPUTED_VALUE"""),"MUNICIPALIDAD DISTRITAL")</f>
        <v>MUNICIPALIDAD DISTRITAL</v>
      </c>
      <c r="C175" s="25" t="str">
        <f ca="1">IFERROR(__xludf.DUMMYFUNCTION("""COMPUTED_VALUE"""),"MUNICIPALIDAD DISTRITAL DE HUALLANCA EN HUAYLAS")</f>
        <v>MUNICIPALIDAD DISTRITAL DE HUALLANCA EN HUAYLAS</v>
      </c>
      <c r="D175" s="25" t="str">
        <f ca="1">IFERROR(__xludf.DUMMYFUNCTION("""COMPUTED_VALUE"""),"LA LIBERTAD")</f>
        <v>LA LIBERTAD</v>
      </c>
      <c r="E175" s="25" t="str">
        <f ca="1">IFERROR(__xludf.DUMMYFUNCTION("""COMPUTED_VALUE"""),"ANCASH")</f>
        <v>ANCASH</v>
      </c>
      <c r="F175" s="25" t="str">
        <f ca="1">IFERROR(__xludf.DUMMYFUNCTION("""COMPUTED_VALUE"""),"HUAYLAS")</f>
        <v>HUAYLAS</v>
      </c>
      <c r="G175" s="25" t="str">
        <f ca="1">IFERROR(__xludf.DUMMYFUNCTION("""COMPUTED_VALUE"""),"HUALLANCA")</f>
        <v>HUALLANCA</v>
      </c>
      <c r="H175" s="25" t="str">
        <f ca="1">IFERROR(__xludf.DUMMYFUNCTION("""COMPUTED_VALUE"""),"RURAL")</f>
        <v>RURAL</v>
      </c>
      <c r="I175" s="25" t="str">
        <f ca="1">IFERROR(__xludf.DUMMYFUNCTION("""COMPUTED_VALUE"""),"Prioridad 1")</f>
        <v>Prioridad 1</v>
      </c>
      <c r="J175" s="43" t="s">
        <v>261</v>
      </c>
    </row>
    <row r="176" spans="1:10">
      <c r="A176" s="44">
        <f ca="1">IFERROR(__xludf.DUMMYFUNCTION("""COMPUTED_VALUE"""),43984)</f>
        <v>43984</v>
      </c>
      <c r="B176" s="25" t="str">
        <f ca="1">IFERROR(__xludf.DUMMYFUNCTION("""COMPUTED_VALUE"""),"MUNICIPALIDAD DISTRITAL")</f>
        <v>MUNICIPALIDAD DISTRITAL</v>
      </c>
      <c r="C176" s="25" t="str">
        <f ca="1">IFERROR(__xludf.DUMMYFUNCTION("""COMPUTED_VALUE"""),"MUNICIPALIDAD DISTRITAL DE HUATA EN HUAYLAS")</f>
        <v>MUNICIPALIDAD DISTRITAL DE HUATA EN HUAYLAS</v>
      </c>
      <c r="D176" s="25" t="str">
        <f ca="1">IFERROR(__xludf.DUMMYFUNCTION("""COMPUTED_VALUE"""),"LA LIBERTAD")</f>
        <v>LA LIBERTAD</v>
      </c>
      <c r="E176" s="25" t="str">
        <f ca="1">IFERROR(__xludf.DUMMYFUNCTION("""COMPUTED_VALUE"""),"ANCASH")</f>
        <v>ANCASH</v>
      </c>
      <c r="F176" s="25" t="str">
        <f ca="1">IFERROR(__xludf.DUMMYFUNCTION("""COMPUTED_VALUE"""),"HUAYLAS")</f>
        <v>HUAYLAS</v>
      </c>
      <c r="G176" s="25" t="str">
        <f ca="1">IFERROR(__xludf.DUMMYFUNCTION("""COMPUTED_VALUE"""),"HUATA")</f>
        <v>HUATA</v>
      </c>
      <c r="H176" s="25" t="str">
        <f ca="1">IFERROR(__xludf.DUMMYFUNCTION("""COMPUTED_VALUE"""),"RURAL")</f>
        <v>RURAL</v>
      </c>
      <c r="I176" s="25" t="str">
        <f ca="1">IFERROR(__xludf.DUMMYFUNCTION("""COMPUTED_VALUE"""),"Prioridad 5")</f>
        <v>Prioridad 5</v>
      </c>
      <c r="J176" s="43" t="s">
        <v>261</v>
      </c>
    </row>
    <row r="177" spans="1:10">
      <c r="A177" s="44">
        <f ca="1">IFERROR(__xludf.DUMMYFUNCTION("""COMPUTED_VALUE"""),43985)</f>
        <v>43985</v>
      </c>
      <c r="B177" s="25" t="str">
        <f ca="1">IFERROR(__xludf.DUMMYFUNCTION("""COMPUTED_VALUE"""),"MUNICIPALIDAD DISTRITAL")</f>
        <v>MUNICIPALIDAD DISTRITAL</v>
      </c>
      <c r="C177" s="25" t="str">
        <f ca="1">IFERROR(__xludf.DUMMYFUNCTION("""COMPUTED_VALUE"""),"MUNICIPALIDAD DISTRITAL DE HUAYLAS")</f>
        <v>MUNICIPALIDAD DISTRITAL DE HUAYLAS</v>
      </c>
      <c r="D177" s="25" t="str">
        <f ca="1">IFERROR(__xludf.DUMMYFUNCTION("""COMPUTED_VALUE"""),"LA LIBERTAD")</f>
        <v>LA LIBERTAD</v>
      </c>
      <c r="E177" s="25" t="str">
        <f ca="1">IFERROR(__xludf.DUMMYFUNCTION("""COMPUTED_VALUE"""),"ANCASH")</f>
        <v>ANCASH</v>
      </c>
      <c r="F177" s="25" t="str">
        <f ca="1">IFERROR(__xludf.DUMMYFUNCTION("""COMPUTED_VALUE"""),"HUAYLAS")</f>
        <v>HUAYLAS</v>
      </c>
      <c r="G177" s="25" t="str">
        <f ca="1">IFERROR(__xludf.DUMMYFUNCTION("""COMPUTED_VALUE"""),"HUAYLAS")</f>
        <v>HUAYLAS</v>
      </c>
      <c r="H177" s="25" t="str">
        <f ca="1">IFERROR(__xludf.DUMMYFUNCTION("""COMPUTED_VALUE"""),"RURAL")</f>
        <v>RURAL</v>
      </c>
      <c r="I177" s="25" t="str">
        <f ca="1">IFERROR(__xludf.DUMMYFUNCTION("""COMPUTED_VALUE"""),"Prioridad 3")</f>
        <v>Prioridad 3</v>
      </c>
      <c r="J177" s="43" t="s">
        <v>261</v>
      </c>
    </row>
    <row r="178" spans="1:10">
      <c r="A178" s="44">
        <f ca="1">IFERROR(__xludf.DUMMYFUNCTION("""COMPUTED_VALUE"""),43986)</f>
        <v>43986</v>
      </c>
      <c r="B178" s="25" t="str">
        <f ca="1">IFERROR(__xludf.DUMMYFUNCTION("""COMPUTED_VALUE"""),"MUNICIPALIDAD DISTRITAL")</f>
        <v>MUNICIPALIDAD DISTRITAL</v>
      </c>
      <c r="C178" s="25" t="str">
        <f ca="1">IFERROR(__xludf.DUMMYFUNCTION("""COMPUTED_VALUE"""),"MUNICIPALIDAD DISTRITAL DE MATO")</f>
        <v>MUNICIPALIDAD DISTRITAL DE MATO</v>
      </c>
      <c r="D178" s="25" t="str">
        <f ca="1">IFERROR(__xludf.DUMMYFUNCTION("""COMPUTED_VALUE"""),"LA LIBERTAD")</f>
        <v>LA LIBERTAD</v>
      </c>
      <c r="E178" s="25" t="str">
        <f ca="1">IFERROR(__xludf.DUMMYFUNCTION("""COMPUTED_VALUE"""),"ANCASH")</f>
        <v>ANCASH</v>
      </c>
      <c r="F178" s="25" t="str">
        <f ca="1">IFERROR(__xludf.DUMMYFUNCTION("""COMPUTED_VALUE"""),"HUAYLAS")</f>
        <v>HUAYLAS</v>
      </c>
      <c r="G178" s="25" t="str">
        <f ca="1">IFERROR(__xludf.DUMMYFUNCTION("""COMPUTED_VALUE"""),"MATO")</f>
        <v>MATO</v>
      </c>
      <c r="H178" s="25" t="str">
        <f ca="1">IFERROR(__xludf.DUMMYFUNCTION("""COMPUTED_VALUE"""),"RURAL")</f>
        <v>RURAL</v>
      </c>
      <c r="I178" s="25" t="str">
        <f ca="1">IFERROR(__xludf.DUMMYFUNCTION("""COMPUTED_VALUE"""),"Prioridad 5")</f>
        <v>Prioridad 5</v>
      </c>
      <c r="J178" s="43" t="s">
        <v>261</v>
      </c>
    </row>
    <row r="179" spans="1:10">
      <c r="A179" s="44">
        <f ca="1">IFERROR(__xludf.DUMMYFUNCTION("""COMPUTED_VALUE"""),43987)</f>
        <v>43987</v>
      </c>
      <c r="B179" s="25" t="str">
        <f ca="1">IFERROR(__xludf.DUMMYFUNCTION("""COMPUTED_VALUE"""),"MUNICIPALIDAD DISTRITAL")</f>
        <v>MUNICIPALIDAD DISTRITAL</v>
      </c>
      <c r="C179" s="25" t="str">
        <f ca="1">IFERROR(__xludf.DUMMYFUNCTION("""COMPUTED_VALUE"""),"MUNICIPALIDAD DISTRITAL DE PAMPAROMAS")</f>
        <v>MUNICIPALIDAD DISTRITAL DE PAMPAROMAS</v>
      </c>
      <c r="D179" s="25" t="str">
        <f ca="1">IFERROR(__xludf.DUMMYFUNCTION("""COMPUTED_VALUE"""),"LA LIBERTAD")</f>
        <v>LA LIBERTAD</v>
      </c>
      <c r="E179" s="25" t="str">
        <f ca="1">IFERROR(__xludf.DUMMYFUNCTION("""COMPUTED_VALUE"""),"ANCASH")</f>
        <v>ANCASH</v>
      </c>
      <c r="F179" s="25" t="str">
        <f ca="1">IFERROR(__xludf.DUMMYFUNCTION("""COMPUTED_VALUE"""),"HUAYLAS")</f>
        <v>HUAYLAS</v>
      </c>
      <c r="G179" s="25" t="str">
        <f ca="1">IFERROR(__xludf.DUMMYFUNCTION("""COMPUTED_VALUE"""),"PAMPAROMAS")</f>
        <v>PAMPAROMAS</v>
      </c>
      <c r="H179" s="25" t="str">
        <f ca="1">IFERROR(__xludf.DUMMYFUNCTION("""COMPUTED_VALUE"""),"RURAL")</f>
        <v>RURAL</v>
      </c>
      <c r="I179" s="25" t="str">
        <f ca="1">IFERROR(__xludf.DUMMYFUNCTION("""COMPUTED_VALUE"""),"Prioridad 5")</f>
        <v>Prioridad 5</v>
      </c>
      <c r="J179" s="43" t="s">
        <v>261</v>
      </c>
    </row>
    <row r="180" spans="1:10">
      <c r="A180" s="44">
        <f ca="1">IFERROR(__xludf.DUMMYFUNCTION("""COMPUTED_VALUE"""),43988)</f>
        <v>43988</v>
      </c>
      <c r="B180" s="25" t="str">
        <f ca="1">IFERROR(__xludf.DUMMYFUNCTION("""COMPUTED_VALUE"""),"MUNICIPALIDAD DISTRITAL")</f>
        <v>MUNICIPALIDAD DISTRITAL</v>
      </c>
      <c r="C180" s="25" t="str">
        <f ca="1">IFERROR(__xludf.DUMMYFUNCTION("""COMPUTED_VALUE"""),"MUNICIPALIDAD DISTRITAL DE PUEBLO LIBRE EN HUAYLAS")</f>
        <v>MUNICIPALIDAD DISTRITAL DE PUEBLO LIBRE EN HUAYLAS</v>
      </c>
      <c r="D180" s="25" t="str">
        <f ca="1">IFERROR(__xludf.DUMMYFUNCTION("""COMPUTED_VALUE"""),"LA LIBERTAD")</f>
        <v>LA LIBERTAD</v>
      </c>
      <c r="E180" s="25" t="str">
        <f ca="1">IFERROR(__xludf.DUMMYFUNCTION("""COMPUTED_VALUE"""),"ANCASH")</f>
        <v>ANCASH</v>
      </c>
      <c r="F180" s="25" t="str">
        <f ca="1">IFERROR(__xludf.DUMMYFUNCTION("""COMPUTED_VALUE"""),"HUAYLAS")</f>
        <v>HUAYLAS</v>
      </c>
      <c r="G180" s="25" t="str">
        <f ca="1">IFERROR(__xludf.DUMMYFUNCTION("""COMPUTED_VALUE"""),"PUEBLO LIBRE")</f>
        <v>PUEBLO LIBRE</v>
      </c>
      <c r="H180" s="25" t="str">
        <f ca="1">IFERROR(__xludf.DUMMYFUNCTION("""COMPUTED_VALUE"""),"RURAL")</f>
        <v>RURAL</v>
      </c>
      <c r="I180" s="25" t="str">
        <f ca="1">IFERROR(__xludf.DUMMYFUNCTION("""COMPUTED_VALUE"""),"Prioridad 4")</f>
        <v>Prioridad 4</v>
      </c>
      <c r="J180" s="43" t="s">
        <v>261</v>
      </c>
    </row>
    <row r="181" spans="1:10">
      <c r="A181" s="44">
        <f ca="1">IFERROR(__xludf.DUMMYFUNCTION("""COMPUTED_VALUE"""),43989)</f>
        <v>43989</v>
      </c>
      <c r="B181" s="25" t="str">
        <f ca="1">IFERROR(__xludf.DUMMYFUNCTION("""COMPUTED_VALUE"""),"MUNICIPALIDAD DISTRITAL")</f>
        <v>MUNICIPALIDAD DISTRITAL</v>
      </c>
      <c r="C181" s="25" t="str">
        <f ca="1">IFERROR(__xludf.DUMMYFUNCTION("""COMPUTED_VALUE"""),"MUNICIPALIDAD DISTRITAL DE SANTA CRUZ EN HUAYLAS")</f>
        <v>MUNICIPALIDAD DISTRITAL DE SANTA CRUZ EN HUAYLAS</v>
      </c>
      <c r="D181" s="25" t="str">
        <f ca="1">IFERROR(__xludf.DUMMYFUNCTION("""COMPUTED_VALUE"""),"LA LIBERTAD")</f>
        <v>LA LIBERTAD</v>
      </c>
      <c r="E181" s="25" t="str">
        <f ca="1">IFERROR(__xludf.DUMMYFUNCTION("""COMPUTED_VALUE"""),"ANCASH")</f>
        <v>ANCASH</v>
      </c>
      <c r="F181" s="25" t="str">
        <f ca="1">IFERROR(__xludf.DUMMYFUNCTION("""COMPUTED_VALUE"""),"HUAYLAS")</f>
        <v>HUAYLAS</v>
      </c>
      <c r="G181" s="25" t="str">
        <f ca="1">IFERROR(__xludf.DUMMYFUNCTION("""COMPUTED_VALUE"""),"SANTA CRUZ")</f>
        <v>SANTA CRUZ</v>
      </c>
      <c r="H181" s="25" t="str">
        <f ca="1">IFERROR(__xludf.DUMMYFUNCTION("""COMPUTED_VALUE"""),"RURAL")</f>
        <v>RURAL</v>
      </c>
      <c r="I181" s="25" t="str">
        <f ca="1">IFERROR(__xludf.DUMMYFUNCTION("""COMPUTED_VALUE"""),"Prioridad 4")</f>
        <v>Prioridad 4</v>
      </c>
      <c r="J181" s="43" t="s">
        <v>261</v>
      </c>
    </row>
    <row r="182" spans="1:10">
      <c r="A182" s="44">
        <f ca="1">IFERROR(__xludf.DUMMYFUNCTION("""COMPUTED_VALUE"""),43990)</f>
        <v>43990</v>
      </c>
      <c r="B182" s="25" t="str">
        <f ca="1">IFERROR(__xludf.DUMMYFUNCTION("""COMPUTED_VALUE"""),"MUNICIPALIDAD DISTRITAL")</f>
        <v>MUNICIPALIDAD DISTRITAL</v>
      </c>
      <c r="C182" s="25" t="str">
        <f ca="1">IFERROR(__xludf.DUMMYFUNCTION("""COMPUTED_VALUE"""),"MUNICIPALIDAD DISTRITAL DE SANTO TORIBIO")</f>
        <v>MUNICIPALIDAD DISTRITAL DE SANTO TORIBIO</v>
      </c>
      <c r="D182" s="25" t="str">
        <f ca="1">IFERROR(__xludf.DUMMYFUNCTION("""COMPUTED_VALUE"""),"LA LIBERTAD")</f>
        <v>LA LIBERTAD</v>
      </c>
      <c r="E182" s="25" t="str">
        <f ca="1">IFERROR(__xludf.DUMMYFUNCTION("""COMPUTED_VALUE"""),"ANCASH")</f>
        <v>ANCASH</v>
      </c>
      <c r="F182" s="25" t="str">
        <f ca="1">IFERROR(__xludf.DUMMYFUNCTION("""COMPUTED_VALUE"""),"HUAYLAS")</f>
        <v>HUAYLAS</v>
      </c>
      <c r="G182" s="25" t="str">
        <f ca="1">IFERROR(__xludf.DUMMYFUNCTION("""COMPUTED_VALUE"""),"SANTO TORIBIO")</f>
        <v>SANTO TORIBIO</v>
      </c>
      <c r="H182" s="25" t="str">
        <f ca="1">IFERROR(__xludf.DUMMYFUNCTION("""COMPUTED_VALUE"""),"RURAL")</f>
        <v>RURAL</v>
      </c>
      <c r="I182" s="25" t="str">
        <f ca="1">IFERROR(__xludf.DUMMYFUNCTION("""COMPUTED_VALUE"""),"Prioridad 5")</f>
        <v>Prioridad 5</v>
      </c>
      <c r="J182" s="43" t="s">
        <v>261</v>
      </c>
    </row>
    <row r="183" spans="1:10">
      <c r="A183" s="44">
        <f ca="1">IFERROR(__xludf.DUMMYFUNCTION("""COMPUTED_VALUE"""),43991)</f>
        <v>43991</v>
      </c>
      <c r="B183" s="25" t="str">
        <f ca="1">IFERROR(__xludf.DUMMYFUNCTION("""COMPUTED_VALUE"""),"MUNICIPALIDAD DISTRITAL")</f>
        <v>MUNICIPALIDAD DISTRITAL</v>
      </c>
      <c r="C183" s="25" t="str">
        <f ca="1">IFERROR(__xludf.DUMMYFUNCTION("""COMPUTED_VALUE"""),"MUNICIPALIDAD DISTRITAL DE YURACMARCA")</f>
        <v>MUNICIPALIDAD DISTRITAL DE YURACMARCA</v>
      </c>
      <c r="D183" s="25" t="str">
        <f ca="1">IFERROR(__xludf.DUMMYFUNCTION("""COMPUTED_VALUE"""),"LA LIBERTAD")</f>
        <v>LA LIBERTAD</v>
      </c>
      <c r="E183" s="25" t="str">
        <f ca="1">IFERROR(__xludf.DUMMYFUNCTION("""COMPUTED_VALUE"""),"ANCASH")</f>
        <v>ANCASH</v>
      </c>
      <c r="F183" s="25" t="str">
        <f ca="1">IFERROR(__xludf.DUMMYFUNCTION("""COMPUTED_VALUE"""),"HUAYLAS")</f>
        <v>HUAYLAS</v>
      </c>
      <c r="G183" s="25" t="str">
        <f ca="1">IFERROR(__xludf.DUMMYFUNCTION("""COMPUTED_VALUE"""),"YURACMARCA")</f>
        <v>YURACMARCA</v>
      </c>
      <c r="H183" s="25" t="str">
        <f ca="1">IFERROR(__xludf.DUMMYFUNCTION("""COMPUTED_VALUE"""),"RURAL")</f>
        <v>RURAL</v>
      </c>
      <c r="I183" s="25" t="str">
        <f ca="1">IFERROR(__xludf.DUMMYFUNCTION("""COMPUTED_VALUE"""),"Prioridad 3")</f>
        <v>Prioridad 3</v>
      </c>
      <c r="J183" s="43" t="s">
        <v>261</v>
      </c>
    </row>
    <row r="184" spans="1:10">
      <c r="A184" s="44">
        <f ca="1">IFERROR(__xludf.DUMMYFUNCTION("""COMPUTED_VALUE"""),43992)</f>
        <v>43992</v>
      </c>
      <c r="B184" s="25" t="str">
        <f ca="1">IFERROR(__xludf.DUMMYFUNCTION("""COMPUTED_VALUE"""),"MUNICIPALIDAD PROVINCIAL")</f>
        <v>MUNICIPALIDAD PROVINCIAL</v>
      </c>
      <c r="C184" s="25" t="str">
        <f ca="1">IFERROR(__xludf.DUMMYFUNCTION("""COMPUTED_VALUE"""),"MUNICIPALIDAD PROVINCIAL DE MARISCAL LUZURIAGA")</f>
        <v>MUNICIPALIDAD PROVINCIAL DE MARISCAL LUZURIAGA</v>
      </c>
      <c r="D184" s="25" t="str">
        <f ca="1">IFERROR(__xludf.DUMMYFUNCTION("""COMPUTED_VALUE"""),"LA LIBERTAD")</f>
        <v>LA LIBERTAD</v>
      </c>
      <c r="E184" s="25" t="str">
        <f ca="1">IFERROR(__xludf.DUMMYFUNCTION("""COMPUTED_VALUE"""),"ANCASH")</f>
        <v>ANCASH</v>
      </c>
      <c r="F184" s="25" t="str">
        <f ca="1">IFERROR(__xludf.DUMMYFUNCTION("""COMPUTED_VALUE"""),"MARISCAL LUZURIAGA")</f>
        <v>MARISCAL LUZURIAGA</v>
      </c>
      <c r="G184" s="25" t="str">
        <f ca="1">IFERROR(__xludf.DUMMYFUNCTION("""COMPUTED_VALUE"""),"PISCOBAMBA")</f>
        <v>PISCOBAMBA</v>
      </c>
      <c r="H184" s="25" t="str">
        <f ca="1">IFERROR(__xludf.DUMMYFUNCTION("""COMPUTED_VALUE"""),"RURAL")</f>
        <v>RURAL</v>
      </c>
      <c r="I184" s="25" t="str">
        <f ca="1">IFERROR(__xludf.DUMMYFUNCTION("""COMPUTED_VALUE"""),"Prioridad 2")</f>
        <v>Prioridad 2</v>
      </c>
      <c r="J184" s="43" t="s">
        <v>261</v>
      </c>
    </row>
    <row r="185" spans="1:10">
      <c r="A185" s="41">
        <f ca="1">IFERROR(__xludf.DUMMYFUNCTION("""COMPUTED_VALUE"""),44011)</f>
        <v>44011</v>
      </c>
      <c r="B185" s="25" t="str">
        <f ca="1">IFERROR(__xludf.DUMMYFUNCTION("""COMPUTED_VALUE"""),"MUNICIPALIDAD DISTRITAL")</f>
        <v>MUNICIPALIDAD DISTRITAL</v>
      </c>
      <c r="C185" s="25" t="str">
        <f ca="1">IFERROR(__xludf.DUMMYFUNCTION("""COMPUTED_VALUE"""),"MUNICIPALIDAD DISTRITAL DE CASCA")</f>
        <v>MUNICIPALIDAD DISTRITAL DE CASCA</v>
      </c>
      <c r="D185" s="25" t="str">
        <f ca="1">IFERROR(__xludf.DUMMYFUNCTION("""COMPUTED_VALUE"""),"LA LIBERTAD")</f>
        <v>LA LIBERTAD</v>
      </c>
      <c r="E185" s="25" t="str">
        <f ca="1">IFERROR(__xludf.DUMMYFUNCTION("""COMPUTED_VALUE"""),"ANCASH")</f>
        <v>ANCASH</v>
      </c>
      <c r="F185" s="25" t="str">
        <f ca="1">IFERROR(__xludf.DUMMYFUNCTION("""COMPUTED_VALUE"""),"MARISCAL LUZURIAGA")</f>
        <v>MARISCAL LUZURIAGA</v>
      </c>
      <c r="G185" s="25" t="str">
        <f ca="1">IFERROR(__xludf.DUMMYFUNCTION("""COMPUTED_VALUE"""),"CASCA")</f>
        <v>CASCA</v>
      </c>
      <c r="H185" s="25" t="str">
        <f ca="1">IFERROR(__xludf.DUMMYFUNCTION("""COMPUTED_VALUE"""),"RURAL")</f>
        <v>RURAL</v>
      </c>
      <c r="I185" s="25" t="str">
        <f ca="1">IFERROR(__xludf.DUMMYFUNCTION("""COMPUTED_VALUE"""),"Prioridad 5")</f>
        <v>Prioridad 5</v>
      </c>
      <c r="J185" s="43" t="s">
        <v>261</v>
      </c>
    </row>
    <row r="186" spans="1:10">
      <c r="A186" s="41">
        <f ca="1">IFERROR(__xludf.DUMMYFUNCTION("""COMPUTED_VALUE"""),44173)</f>
        <v>44173</v>
      </c>
      <c r="B186" s="25" t="str">
        <f ca="1">IFERROR(__xludf.DUMMYFUNCTION("""COMPUTED_VALUE"""),"MUNICIPALIDAD DISTRITAL")</f>
        <v>MUNICIPALIDAD DISTRITAL</v>
      </c>
      <c r="C186" s="25" t="str">
        <f ca="1">IFERROR(__xludf.DUMMYFUNCTION("""COMPUTED_VALUE"""),"MUNICIPALIDAD DISTRITAL DE ELEAZAR GUZMAN BARRON")</f>
        <v>MUNICIPALIDAD DISTRITAL DE ELEAZAR GUZMAN BARRON</v>
      </c>
      <c r="D186" s="25" t="str">
        <f ca="1">IFERROR(__xludf.DUMMYFUNCTION("""COMPUTED_VALUE"""),"LA LIBERTAD")</f>
        <v>LA LIBERTAD</v>
      </c>
      <c r="E186" s="25" t="str">
        <f ca="1">IFERROR(__xludf.DUMMYFUNCTION("""COMPUTED_VALUE"""),"ANCASH")</f>
        <v>ANCASH</v>
      </c>
      <c r="F186" s="25" t="str">
        <f ca="1">IFERROR(__xludf.DUMMYFUNCTION("""COMPUTED_VALUE"""),"MARISCAL LUZURIAGA")</f>
        <v>MARISCAL LUZURIAGA</v>
      </c>
      <c r="G186" s="25" t="str">
        <f ca="1">IFERROR(__xludf.DUMMYFUNCTION("""COMPUTED_VALUE"""),"ELEAZAR GUZMAN BARRON")</f>
        <v>ELEAZAR GUZMAN BARRON</v>
      </c>
      <c r="H186" s="25" t="str">
        <f ca="1">IFERROR(__xludf.DUMMYFUNCTION("""COMPUTED_VALUE"""),"RURAL")</f>
        <v>RURAL</v>
      </c>
      <c r="I186" s="25" t="str">
        <f ca="1">IFERROR(__xludf.DUMMYFUNCTION("""COMPUTED_VALUE"""),"Prioridad 5")</f>
        <v>Prioridad 5</v>
      </c>
      <c r="J186" s="43" t="s">
        <v>261</v>
      </c>
    </row>
    <row r="187" spans="1:10">
      <c r="A187" s="41">
        <f ca="1">IFERROR(__xludf.DUMMYFUNCTION("""COMPUTED_VALUE"""),44189)</f>
        <v>44189</v>
      </c>
      <c r="B187" s="25" t="str">
        <f ca="1">IFERROR(__xludf.DUMMYFUNCTION("""COMPUTED_VALUE"""),"MUNICIPALIDAD DISTRITAL")</f>
        <v>MUNICIPALIDAD DISTRITAL</v>
      </c>
      <c r="C187" s="25" t="str">
        <f ca="1">IFERROR(__xludf.DUMMYFUNCTION("""COMPUTED_VALUE"""),"MUNICIPALIDAD DISTRITAL DE FIDEL OLIVAS ESCUDERO")</f>
        <v>MUNICIPALIDAD DISTRITAL DE FIDEL OLIVAS ESCUDERO</v>
      </c>
      <c r="D187" s="25" t="str">
        <f ca="1">IFERROR(__xludf.DUMMYFUNCTION("""COMPUTED_VALUE"""),"LA LIBERTAD")</f>
        <v>LA LIBERTAD</v>
      </c>
      <c r="E187" s="25" t="str">
        <f ca="1">IFERROR(__xludf.DUMMYFUNCTION("""COMPUTED_VALUE"""),"ANCASH")</f>
        <v>ANCASH</v>
      </c>
      <c r="F187" s="25" t="str">
        <f ca="1">IFERROR(__xludf.DUMMYFUNCTION("""COMPUTED_VALUE"""),"MARISCAL LUZURIAGA")</f>
        <v>MARISCAL LUZURIAGA</v>
      </c>
      <c r="G187" s="25" t="str">
        <f ca="1">IFERROR(__xludf.DUMMYFUNCTION("""COMPUTED_VALUE"""),"FIDEL OLIVAS ESCUDERO")</f>
        <v>FIDEL OLIVAS ESCUDERO</v>
      </c>
      <c r="H187" s="25" t="str">
        <f ca="1">IFERROR(__xludf.DUMMYFUNCTION("""COMPUTED_VALUE"""),"RURAL")</f>
        <v>RURAL</v>
      </c>
      <c r="I187" s="25" t="str">
        <f ca="1">IFERROR(__xludf.DUMMYFUNCTION("""COMPUTED_VALUE"""),"Prioridad 5")</f>
        <v>Prioridad 5</v>
      </c>
      <c r="J187" s="43" t="s">
        <v>261</v>
      </c>
    </row>
    <row r="188" spans="1:10">
      <c r="A188" s="41">
        <f ca="1">IFERROR(__xludf.DUMMYFUNCTION("""COMPUTED_VALUE"""),44190)</f>
        <v>44190</v>
      </c>
      <c r="B188" s="25" t="str">
        <f ca="1">IFERROR(__xludf.DUMMYFUNCTION("""COMPUTED_VALUE"""),"MUNICIPALIDAD DISTRITAL")</f>
        <v>MUNICIPALIDAD DISTRITAL</v>
      </c>
      <c r="C188" s="25" t="str">
        <f ca="1">IFERROR(__xludf.DUMMYFUNCTION("""COMPUTED_VALUE"""),"MUNICIPALIDAD DISTRITAL DE LLAMA EN MARISCAL LUZURIAGA")</f>
        <v>MUNICIPALIDAD DISTRITAL DE LLAMA EN MARISCAL LUZURIAGA</v>
      </c>
      <c r="D188" s="25" t="str">
        <f ca="1">IFERROR(__xludf.DUMMYFUNCTION("""COMPUTED_VALUE"""),"LA LIBERTAD")</f>
        <v>LA LIBERTAD</v>
      </c>
      <c r="E188" s="25" t="str">
        <f ca="1">IFERROR(__xludf.DUMMYFUNCTION("""COMPUTED_VALUE"""),"ANCASH")</f>
        <v>ANCASH</v>
      </c>
      <c r="F188" s="25" t="str">
        <f ca="1">IFERROR(__xludf.DUMMYFUNCTION("""COMPUTED_VALUE"""),"MARISCAL LUZURIAGA")</f>
        <v>MARISCAL LUZURIAGA</v>
      </c>
      <c r="G188" s="25" t="str">
        <f ca="1">IFERROR(__xludf.DUMMYFUNCTION("""COMPUTED_VALUE"""),"LLAMA")</f>
        <v>LLAMA</v>
      </c>
      <c r="H188" s="25" t="str">
        <f ca="1">IFERROR(__xludf.DUMMYFUNCTION("""COMPUTED_VALUE"""),"RURAL")</f>
        <v>RURAL</v>
      </c>
      <c r="I188" s="25" t="str">
        <f ca="1">IFERROR(__xludf.DUMMYFUNCTION("""COMPUTED_VALUE"""),"Prioridad 5")</f>
        <v>Prioridad 5</v>
      </c>
      <c r="J188" s="43" t="s">
        <v>261</v>
      </c>
    </row>
    <row r="189" spans="1:10">
      <c r="A189" s="41">
        <f ca="1">IFERROR(__xludf.DUMMYFUNCTION("""COMPUTED_VALUE"""),44196)</f>
        <v>44196</v>
      </c>
      <c r="B189" s="25" t="str">
        <f ca="1">IFERROR(__xludf.DUMMYFUNCTION("""COMPUTED_VALUE"""),"MUNICIPALIDAD DISTRITAL")</f>
        <v>MUNICIPALIDAD DISTRITAL</v>
      </c>
      <c r="C189" s="25" t="str">
        <f ca="1">IFERROR(__xludf.DUMMYFUNCTION("""COMPUTED_VALUE"""),"MUNICIPALIDAD DISTRITAL DE LLUMPA")</f>
        <v>MUNICIPALIDAD DISTRITAL DE LLUMPA</v>
      </c>
      <c r="D189" s="25" t="str">
        <f ca="1">IFERROR(__xludf.DUMMYFUNCTION("""COMPUTED_VALUE"""),"LA LIBERTAD")</f>
        <v>LA LIBERTAD</v>
      </c>
      <c r="E189" s="25" t="str">
        <f ca="1">IFERROR(__xludf.DUMMYFUNCTION("""COMPUTED_VALUE"""),"ANCASH")</f>
        <v>ANCASH</v>
      </c>
      <c r="F189" s="25" t="str">
        <f ca="1">IFERROR(__xludf.DUMMYFUNCTION("""COMPUTED_VALUE"""),"MARISCAL LUZURIAGA")</f>
        <v>MARISCAL LUZURIAGA</v>
      </c>
      <c r="G189" s="25" t="str">
        <f ca="1">IFERROR(__xludf.DUMMYFUNCTION("""COMPUTED_VALUE"""),"LLUMPA")</f>
        <v>LLUMPA</v>
      </c>
      <c r="H189" s="25" t="str">
        <f ca="1">IFERROR(__xludf.DUMMYFUNCTION("""COMPUTED_VALUE"""),"RURAL")</f>
        <v>RURAL</v>
      </c>
      <c r="I189" s="25" t="str">
        <f ca="1">IFERROR(__xludf.DUMMYFUNCTION("""COMPUTED_VALUE"""),"Prioridad 5")</f>
        <v>Prioridad 5</v>
      </c>
      <c r="J189" s="43" t="s">
        <v>261</v>
      </c>
    </row>
    <row r="190" spans="1:10">
      <c r="A190" s="41">
        <f ca="1">IFERROR(__xludf.DUMMYFUNCTION("""COMPUTED_VALUE"""),44197)</f>
        <v>44197</v>
      </c>
      <c r="B190" s="25" t="str">
        <f ca="1">IFERROR(__xludf.DUMMYFUNCTION("""COMPUTED_VALUE"""),"MUNICIPALIDAD DISTRITAL")</f>
        <v>MUNICIPALIDAD DISTRITAL</v>
      </c>
      <c r="C190" s="25" t="str">
        <f ca="1">IFERROR(__xludf.DUMMYFUNCTION("""COMPUTED_VALUE"""),"MUNICIPALIDAD DISTRITAL DE MUSGA")</f>
        <v>MUNICIPALIDAD DISTRITAL DE MUSGA</v>
      </c>
      <c r="D190" s="25" t="str">
        <f ca="1">IFERROR(__xludf.DUMMYFUNCTION("""COMPUTED_VALUE"""),"LA LIBERTAD")</f>
        <v>LA LIBERTAD</v>
      </c>
      <c r="E190" s="25" t="str">
        <f ca="1">IFERROR(__xludf.DUMMYFUNCTION("""COMPUTED_VALUE"""),"ANCASH")</f>
        <v>ANCASH</v>
      </c>
      <c r="F190" s="25" t="str">
        <f ca="1">IFERROR(__xludf.DUMMYFUNCTION("""COMPUTED_VALUE"""),"MARISCAL LUZURIAGA")</f>
        <v>MARISCAL LUZURIAGA</v>
      </c>
      <c r="G190" s="25" t="str">
        <f ca="1">IFERROR(__xludf.DUMMYFUNCTION("""COMPUTED_VALUE"""),"MUSGA")</f>
        <v>MUSGA</v>
      </c>
      <c r="H190" s="25" t="str">
        <f ca="1">IFERROR(__xludf.DUMMYFUNCTION("""COMPUTED_VALUE"""),"RURAL")</f>
        <v>RURAL</v>
      </c>
      <c r="I190" s="25" t="str">
        <f ca="1">IFERROR(__xludf.DUMMYFUNCTION("""COMPUTED_VALUE"""),"Prioridad 3")</f>
        <v>Prioridad 3</v>
      </c>
      <c r="J190" s="43" t="s">
        <v>261</v>
      </c>
    </row>
    <row r="191" spans="1:10">
      <c r="A191" s="41">
        <f ca="1">IFERROR(__xludf.DUMMYFUNCTION("""COMPUTED_VALUE"""),44287)</f>
        <v>44287</v>
      </c>
      <c r="B191" s="25" t="str">
        <f ca="1">IFERROR(__xludf.DUMMYFUNCTION("""COMPUTED_VALUE"""),"MUNICIPALIDAD DISTRITAL")</f>
        <v>MUNICIPALIDAD DISTRITAL</v>
      </c>
      <c r="C191" s="25" t="str">
        <f ca="1">IFERROR(__xludf.DUMMYFUNCTION("""COMPUTED_VALUE"""),"MUNICIPALIDAD DISTRITAL DE LUCMA EN MARISCAL LUZURIAGA")</f>
        <v>MUNICIPALIDAD DISTRITAL DE LUCMA EN MARISCAL LUZURIAGA</v>
      </c>
      <c r="D191" s="25" t="str">
        <f ca="1">IFERROR(__xludf.DUMMYFUNCTION("""COMPUTED_VALUE"""),"LA LIBERTAD")</f>
        <v>LA LIBERTAD</v>
      </c>
      <c r="E191" s="25" t="str">
        <f ca="1">IFERROR(__xludf.DUMMYFUNCTION("""COMPUTED_VALUE"""),"ANCASH")</f>
        <v>ANCASH</v>
      </c>
      <c r="F191" s="25" t="str">
        <f ca="1">IFERROR(__xludf.DUMMYFUNCTION("""COMPUTED_VALUE"""),"MARISCAL LUZURIAGA")</f>
        <v>MARISCAL LUZURIAGA</v>
      </c>
      <c r="G191" s="25" t="str">
        <f ca="1">IFERROR(__xludf.DUMMYFUNCTION("""COMPUTED_VALUE"""),"LUCMA")</f>
        <v>LUCMA</v>
      </c>
      <c r="H191" s="25" t="str">
        <f ca="1">IFERROR(__xludf.DUMMYFUNCTION("""COMPUTED_VALUE"""),"RURAL")</f>
        <v>RURAL</v>
      </c>
      <c r="I191" s="25" t="str">
        <f ca="1">IFERROR(__xludf.DUMMYFUNCTION("""COMPUTED_VALUE"""),"Prioridad 5")</f>
        <v>Prioridad 5</v>
      </c>
      <c r="J191" s="43" t="s">
        <v>261</v>
      </c>
    </row>
    <row r="192" spans="1:10">
      <c r="A192" s="41">
        <f ca="1">IFERROR(__xludf.DUMMYFUNCTION("""COMPUTED_VALUE"""),44288)</f>
        <v>44288</v>
      </c>
      <c r="B192" s="25" t="str">
        <f ca="1">IFERROR(__xludf.DUMMYFUNCTION("""COMPUTED_VALUE"""),"MUNICIPALIDAD PROVINCIAL")</f>
        <v>MUNICIPALIDAD PROVINCIAL</v>
      </c>
      <c r="C192" s="25" t="str">
        <f ca="1">IFERROR(__xludf.DUMMYFUNCTION("""COMPUTED_VALUE"""),"MUNICIPALIDAD PROVINCIAL DE OCROS")</f>
        <v>MUNICIPALIDAD PROVINCIAL DE OCROS</v>
      </c>
      <c r="D192" s="25" t="str">
        <f ca="1">IFERROR(__xludf.DUMMYFUNCTION("""COMPUTED_VALUE"""),"SEDE CENTRAL")</f>
        <v>SEDE CENTRAL</v>
      </c>
      <c r="E192" s="25" t="str">
        <f ca="1">IFERROR(__xludf.DUMMYFUNCTION("""COMPUTED_VALUE"""),"ANCASH")</f>
        <v>ANCASH</v>
      </c>
      <c r="F192" s="25" t="str">
        <f ca="1">IFERROR(__xludf.DUMMYFUNCTION("""COMPUTED_VALUE"""),"OCROS")</f>
        <v>OCROS</v>
      </c>
      <c r="G192" s="25" t="str">
        <f ca="1">IFERROR(__xludf.DUMMYFUNCTION("""COMPUTED_VALUE"""),"OCROS")</f>
        <v>OCROS</v>
      </c>
      <c r="H192" s="25" t="str">
        <f ca="1">IFERROR(__xludf.DUMMYFUNCTION("""COMPUTED_VALUE"""),"RURAL")</f>
        <v>RURAL</v>
      </c>
      <c r="I192" s="25" t="str">
        <f ca="1">IFERROR(__xludf.DUMMYFUNCTION("""COMPUTED_VALUE"""),"Prioridad 1")</f>
        <v>Prioridad 1</v>
      </c>
      <c r="J192" s="43" t="s">
        <v>261</v>
      </c>
    </row>
    <row r="193" spans="1:10">
      <c r="A193" s="41">
        <f ca="1">IFERROR(__xludf.DUMMYFUNCTION("""COMPUTED_VALUE"""),44290)</f>
        <v>44290</v>
      </c>
      <c r="B193" s="25" t="str">
        <f ca="1">IFERROR(__xludf.DUMMYFUNCTION("""COMPUTED_VALUE"""),"MUNICIPALIDAD DISTRITAL")</f>
        <v>MUNICIPALIDAD DISTRITAL</v>
      </c>
      <c r="C193" s="25" t="str">
        <f ca="1">IFERROR(__xludf.DUMMYFUNCTION("""COMPUTED_VALUE"""),"MUNICIPALIDAD DISTRITAL DE ACAS")</f>
        <v>MUNICIPALIDAD DISTRITAL DE ACAS</v>
      </c>
      <c r="D193" s="25" t="str">
        <f ca="1">IFERROR(__xludf.DUMMYFUNCTION("""COMPUTED_VALUE"""),"SEDE CENTRAL")</f>
        <v>SEDE CENTRAL</v>
      </c>
      <c r="E193" s="25" t="str">
        <f ca="1">IFERROR(__xludf.DUMMYFUNCTION("""COMPUTED_VALUE"""),"ANCASH")</f>
        <v>ANCASH</v>
      </c>
      <c r="F193" s="25" t="str">
        <f ca="1">IFERROR(__xludf.DUMMYFUNCTION("""COMPUTED_VALUE"""),"OCROS")</f>
        <v>OCROS</v>
      </c>
      <c r="G193" s="25" t="str">
        <f ca="1">IFERROR(__xludf.DUMMYFUNCTION("""COMPUTED_VALUE"""),"ACAS")</f>
        <v>ACAS</v>
      </c>
      <c r="H193" s="25" t="str">
        <f ca="1">IFERROR(__xludf.DUMMYFUNCTION("""COMPUTED_VALUE"""),"RURAL")</f>
        <v>RURAL</v>
      </c>
      <c r="I193" s="25" t="str">
        <f ca="1">IFERROR(__xludf.DUMMYFUNCTION("""COMPUTED_VALUE"""),"Prioridad 5")</f>
        <v>Prioridad 5</v>
      </c>
      <c r="J193" s="43" t="s">
        <v>261</v>
      </c>
    </row>
    <row r="194" spans="1:10">
      <c r="A194" s="41">
        <f ca="1">IFERROR(__xludf.DUMMYFUNCTION("""COMPUTED_VALUE"""),44317)</f>
        <v>44317</v>
      </c>
      <c r="B194" s="25" t="str">
        <f ca="1">IFERROR(__xludf.DUMMYFUNCTION("""COMPUTED_VALUE"""),"MUNICIPALIDAD DISTRITAL")</f>
        <v>MUNICIPALIDAD DISTRITAL</v>
      </c>
      <c r="C194" s="25" t="str">
        <f ca="1">IFERROR(__xludf.DUMMYFUNCTION("""COMPUTED_VALUE"""),"MUNICIPALIDAD DISTRITAL DE CAJAMARQUILLA")</f>
        <v>MUNICIPALIDAD DISTRITAL DE CAJAMARQUILLA</v>
      </c>
      <c r="D194" s="25" t="str">
        <f ca="1">IFERROR(__xludf.DUMMYFUNCTION("""COMPUTED_VALUE"""),"SEDE CENTRAL")</f>
        <v>SEDE CENTRAL</v>
      </c>
      <c r="E194" s="25" t="str">
        <f ca="1">IFERROR(__xludf.DUMMYFUNCTION("""COMPUTED_VALUE"""),"ANCASH")</f>
        <v>ANCASH</v>
      </c>
      <c r="F194" s="25" t="str">
        <f ca="1">IFERROR(__xludf.DUMMYFUNCTION("""COMPUTED_VALUE"""),"OCROS")</f>
        <v>OCROS</v>
      </c>
      <c r="G194" s="25" t="str">
        <f ca="1">IFERROR(__xludf.DUMMYFUNCTION("""COMPUTED_VALUE"""),"CAJAMARQUILLA")</f>
        <v>CAJAMARQUILLA</v>
      </c>
      <c r="H194" s="25" t="str">
        <f ca="1">IFERROR(__xludf.DUMMYFUNCTION("""COMPUTED_VALUE"""),"RURAL")</f>
        <v>RURAL</v>
      </c>
      <c r="I194" s="25" t="str">
        <f ca="1">IFERROR(__xludf.DUMMYFUNCTION("""COMPUTED_VALUE"""),"Prioridad 5")</f>
        <v>Prioridad 5</v>
      </c>
      <c r="J194" s="43" t="s">
        <v>261</v>
      </c>
    </row>
    <row r="195" spans="1:10">
      <c r="A195" s="41">
        <f ca="1">IFERROR(__xludf.DUMMYFUNCTION("""COMPUTED_VALUE"""),44376)</f>
        <v>44376</v>
      </c>
      <c r="B195" s="25" t="str">
        <f ca="1">IFERROR(__xludf.DUMMYFUNCTION("""COMPUTED_VALUE"""),"MUNICIPALIDAD DISTRITAL")</f>
        <v>MUNICIPALIDAD DISTRITAL</v>
      </c>
      <c r="C195" s="25" t="str">
        <f ca="1">IFERROR(__xludf.DUMMYFUNCTION("""COMPUTED_VALUE"""),"MUNICIPALIDAD DISTRITAL DE CARHUAPAMPA")</f>
        <v>MUNICIPALIDAD DISTRITAL DE CARHUAPAMPA</v>
      </c>
      <c r="D195" s="25" t="str">
        <f ca="1">IFERROR(__xludf.DUMMYFUNCTION("""COMPUTED_VALUE"""),"SEDE CENTRAL")</f>
        <v>SEDE CENTRAL</v>
      </c>
      <c r="E195" s="25" t="str">
        <f ca="1">IFERROR(__xludf.DUMMYFUNCTION("""COMPUTED_VALUE"""),"ANCASH")</f>
        <v>ANCASH</v>
      </c>
      <c r="F195" s="25" t="str">
        <f ca="1">IFERROR(__xludf.DUMMYFUNCTION("""COMPUTED_VALUE"""),"OCROS")</f>
        <v>OCROS</v>
      </c>
      <c r="G195" s="25" t="str">
        <f ca="1">IFERROR(__xludf.DUMMYFUNCTION("""COMPUTED_VALUE"""),"CARHUAPAMPA")</f>
        <v>CARHUAPAMPA</v>
      </c>
      <c r="H195" s="25" t="str">
        <f ca="1">IFERROR(__xludf.DUMMYFUNCTION("""COMPUTED_VALUE"""),"RURAL")</f>
        <v>RURAL</v>
      </c>
      <c r="I195" s="25" t="str">
        <f ca="1">IFERROR(__xludf.DUMMYFUNCTION("""COMPUTED_VALUE"""),"Prioridad 5")</f>
        <v>Prioridad 5</v>
      </c>
      <c r="J195" s="43" t="s">
        <v>261</v>
      </c>
    </row>
    <row r="196" spans="1:10">
      <c r="A196" s="41">
        <f ca="1">IFERROR(__xludf.DUMMYFUNCTION("""COMPUTED_VALUE"""),44405)</f>
        <v>44405</v>
      </c>
      <c r="B196" s="25" t="str">
        <f ca="1">IFERROR(__xludf.DUMMYFUNCTION("""COMPUTED_VALUE"""),"MUNICIPALIDAD DISTRITAL")</f>
        <v>MUNICIPALIDAD DISTRITAL</v>
      </c>
      <c r="C196" s="25" t="str">
        <f ca="1">IFERROR(__xludf.DUMMYFUNCTION("""COMPUTED_VALUE"""),"MUNICIPALIDAD DISTRITAL DE COCHAS EN OCROS")</f>
        <v>MUNICIPALIDAD DISTRITAL DE COCHAS EN OCROS</v>
      </c>
      <c r="D196" s="25" t="str">
        <f ca="1">IFERROR(__xludf.DUMMYFUNCTION("""COMPUTED_VALUE"""),"SEDE CENTRAL")</f>
        <v>SEDE CENTRAL</v>
      </c>
      <c r="E196" s="25" t="str">
        <f ca="1">IFERROR(__xludf.DUMMYFUNCTION("""COMPUTED_VALUE"""),"ANCASH")</f>
        <v>ANCASH</v>
      </c>
      <c r="F196" s="25" t="str">
        <f ca="1">IFERROR(__xludf.DUMMYFUNCTION("""COMPUTED_VALUE"""),"OCROS")</f>
        <v>OCROS</v>
      </c>
      <c r="G196" s="25" t="str">
        <f ca="1">IFERROR(__xludf.DUMMYFUNCTION("""COMPUTED_VALUE"""),"COCHAS")</f>
        <v>COCHAS</v>
      </c>
      <c r="H196" s="25" t="str">
        <f ca="1">IFERROR(__xludf.DUMMYFUNCTION("""COMPUTED_VALUE"""),"RURAL")</f>
        <v>RURAL</v>
      </c>
      <c r="I196" s="25" t="str">
        <f ca="1">IFERROR(__xludf.DUMMYFUNCTION("""COMPUTED_VALUE"""),"Prioridad 5")</f>
        <v>Prioridad 5</v>
      </c>
      <c r="J196" s="43" t="s">
        <v>261</v>
      </c>
    </row>
    <row r="197" spans="1:10">
      <c r="A197" s="41">
        <f ca="1">IFERROR(__xludf.DUMMYFUNCTION("""COMPUTED_VALUE"""),44406)</f>
        <v>44406</v>
      </c>
      <c r="B197" s="25" t="str">
        <f ca="1">IFERROR(__xludf.DUMMYFUNCTION("""COMPUTED_VALUE"""),"MUNICIPALIDAD DISTRITAL")</f>
        <v>MUNICIPALIDAD DISTRITAL</v>
      </c>
      <c r="C197" s="25" t="str">
        <f ca="1">IFERROR(__xludf.DUMMYFUNCTION("""COMPUTED_VALUE"""),"MUNICIPALIDAD DISTRITAL DE CONGAS")</f>
        <v>MUNICIPALIDAD DISTRITAL DE CONGAS</v>
      </c>
      <c r="D197" s="25" t="str">
        <f ca="1">IFERROR(__xludf.DUMMYFUNCTION("""COMPUTED_VALUE"""),"SEDE CENTRAL")</f>
        <v>SEDE CENTRAL</v>
      </c>
      <c r="E197" s="25" t="str">
        <f ca="1">IFERROR(__xludf.DUMMYFUNCTION("""COMPUTED_VALUE"""),"ANCASH")</f>
        <v>ANCASH</v>
      </c>
      <c r="F197" s="25" t="str">
        <f ca="1">IFERROR(__xludf.DUMMYFUNCTION("""COMPUTED_VALUE"""),"OCROS")</f>
        <v>OCROS</v>
      </c>
      <c r="G197" s="25" t="str">
        <f ca="1">IFERROR(__xludf.DUMMYFUNCTION("""COMPUTED_VALUE"""),"CONGAS")</f>
        <v>CONGAS</v>
      </c>
      <c r="H197" s="25" t="str">
        <f ca="1">IFERROR(__xludf.DUMMYFUNCTION("""COMPUTED_VALUE"""),"RURAL")</f>
        <v>RURAL</v>
      </c>
      <c r="I197" s="25" t="str">
        <f ca="1">IFERROR(__xludf.DUMMYFUNCTION("""COMPUTED_VALUE"""),"Prioridad 5")</f>
        <v>Prioridad 5</v>
      </c>
      <c r="J197" s="43" t="s">
        <v>261</v>
      </c>
    </row>
    <row r="198" spans="1:10">
      <c r="A198" s="41">
        <f ca="1">IFERROR(__xludf.DUMMYFUNCTION("""COMPUTED_VALUE"""),44438)</f>
        <v>44438</v>
      </c>
      <c r="B198" s="25" t="str">
        <f ca="1">IFERROR(__xludf.DUMMYFUNCTION("""COMPUTED_VALUE"""),"MUNICIPALIDAD DISTRITAL")</f>
        <v>MUNICIPALIDAD DISTRITAL</v>
      </c>
      <c r="C198" s="25" t="str">
        <f ca="1">IFERROR(__xludf.DUMMYFUNCTION("""COMPUTED_VALUE"""),"MUNICIPALIDAD DISTRITAL DE LLIPA")</f>
        <v>MUNICIPALIDAD DISTRITAL DE LLIPA</v>
      </c>
      <c r="D198" s="25" t="str">
        <f ca="1">IFERROR(__xludf.DUMMYFUNCTION("""COMPUTED_VALUE"""),"SEDE CENTRAL")</f>
        <v>SEDE CENTRAL</v>
      </c>
      <c r="E198" s="25" t="str">
        <f ca="1">IFERROR(__xludf.DUMMYFUNCTION("""COMPUTED_VALUE"""),"ANCASH")</f>
        <v>ANCASH</v>
      </c>
      <c r="F198" s="25" t="str">
        <f ca="1">IFERROR(__xludf.DUMMYFUNCTION("""COMPUTED_VALUE"""),"OCROS")</f>
        <v>OCROS</v>
      </c>
      <c r="G198" s="25" t="str">
        <f ca="1">IFERROR(__xludf.DUMMYFUNCTION("""COMPUTED_VALUE"""),"LLIPA")</f>
        <v>LLIPA</v>
      </c>
      <c r="H198" s="25" t="str">
        <f ca="1">IFERROR(__xludf.DUMMYFUNCTION("""COMPUTED_VALUE"""),"RURAL")</f>
        <v>RURAL</v>
      </c>
      <c r="I198" s="25" t="str">
        <f ca="1">IFERROR(__xludf.DUMMYFUNCTION("""COMPUTED_VALUE"""),"Prioridad 5")</f>
        <v>Prioridad 5</v>
      </c>
      <c r="J198" s="43" t="s">
        <v>261</v>
      </c>
    </row>
    <row r="199" spans="1:10">
      <c r="A199" s="41">
        <f ca="1">IFERROR(__xludf.DUMMYFUNCTION("""COMPUTED_VALUE"""),44477)</f>
        <v>44477</v>
      </c>
      <c r="B199" s="25" t="str">
        <f ca="1">IFERROR(__xludf.DUMMYFUNCTION("""COMPUTED_VALUE"""),"MUNICIPALIDAD DISTRITAL")</f>
        <v>MUNICIPALIDAD DISTRITAL</v>
      </c>
      <c r="C199" s="25" t="str">
        <f ca="1">IFERROR(__xludf.DUMMYFUNCTION("""COMPUTED_VALUE"""),"MUNICIPALIDAD DISTRITAL DE SAN CRISTOBAL DE RAJAN")</f>
        <v>MUNICIPALIDAD DISTRITAL DE SAN CRISTOBAL DE RAJAN</v>
      </c>
      <c r="D199" s="25" t="str">
        <f ca="1">IFERROR(__xludf.DUMMYFUNCTION("""COMPUTED_VALUE"""),"SEDE CENTRAL")</f>
        <v>SEDE CENTRAL</v>
      </c>
      <c r="E199" s="25" t="str">
        <f ca="1">IFERROR(__xludf.DUMMYFUNCTION("""COMPUTED_VALUE"""),"ANCASH")</f>
        <v>ANCASH</v>
      </c>
      <c r="F199" s="25" t="str">
        <f ca="1">IFERROR(__xludf.DUMMYFUNCTION("""COMPUTED_VALUE"""),"OCROS")</f>
        <v>OCROS</v>
      </c>
      <c r="G199" s="25" t="str">
        <f ca="1">IFERROR(__xludf.DUMMYFUNCTION("""COMPUTED_VALUE"""),"SAN CRISTOBAL DE RAJAN")</f>
        <v>SAN CRISTOBAL DE RAJAN</v>
      </c>
      <c r="H199" s="25" t="str">
        <f ca="1">IFERROR(__xludf.DUMMYFUNCTION("""COMPUTED_VALUE"""),"RURAL")</f>
        <v>RURAL</v>
      </c>
      <c r="I199" s="25" t="str">
        <f ca="1">IFERROR(__xludf.DUMMYFUNCTION("""COMPUTED_VALUE"""),"Prioridad 4")</f>
        <v>Prioridad 4</v>
      </c>
      <c r="J199" s="43" t="s">
        <v>261</v>
      </c>
    </row>
    <row r="200" spans="1:10">
      <c r="A200" s="41">
        <f ca="1">IFERROR(__xludf.DUMMYFUNCTION("""COMPUTED_VALUE"""),44501)</f>
        <v>44501</v>
      </c>
      <c r="B200" s="25" t="str">
        <f ca="1">IFERROR(__xludf.DUMMYFUNCTION("""COMPUTED_VALUE"""),"MUNICIPALIDAD DISTRITAL")</f>
        <v>MUNICIPALIDAD DISTRITAL</v>
      </c>
      <c r="C200" s="25" t="str">
        <f ca="1">IFERROR(__xludf.DUMMYFUNCTION("""COMPUTED_VALUE"""),"MUNICIPALIDAD DISTRITAL DE SAN PEDRO EN OCROS")</f>
        <v>MUNICIPALIDAD DISTRITAL DE SAN PEDRO EN OCROS</v>
      </c>
      <c r="D200" s="25" t="str">
        <f ca="1">IFERROR(__xludf.DUMMYFUNCTION("""COMPUTED_VALUE"""),"SEDE CENTRAL")</f>
        <v>SEDE CENTRAL</v>
      </c>
      <c r="E200" s="25" t="str">
        <f ca="1">IFERROR(__xludf.DUMMYFUNCTION("""COMPUTED_VALUE"""),"ANCASH")</f>
        <v>ANCASH</v>
      </c>
      <c r="F200" s="25" t="str">
        <f ca="1">IFERROR(__xludf.DUMMYFUNCTION("""COMPUTED_VALUE"""),"OCROS")</f>
        <v>OCROS</v>
      </c>
      <c r="G200" s="25" t="str">
        <f ca="1">IFERROR(__xludf.DUMMYFUNCTION("""COMPUTED_VALUE"""),"SAN PEDRO")</f>
        <v>SAN PEDRO</v>
      </c>
      <c r="H200" s="25" t="str">
        <f ca="1">IFERROR(__xludf.DUMMYFUNCTION("""COMPUTED_VALUE"""),"RURAL")</f>
        <v>RURAL</v>
      </c>
      <c r="I200" s="25" t="str">
        <f ca="1">IFERROR(__xludf.DUMMYFUNCTION("""COMPUTED_VALUE"""),"Prioridad 5")</f>
        <v>Prioridad 5</v>
      </c>
      <c r="J200" s="43" t="s">
        <v>261</v>
      </c>
    </row>
    <row r="201" spans="1:10">
      <c r="A201" s="41">
        <f ca="1">IFERROR(__xludf.DUMMYFUNCTION("""COMPUTED_VALUE"""),44502)</f>
        <v>44502</v>
      </c>
      <c r="B201" s="25" t="str">
        <f ca="1">IFERROR(__xludf.DUMMYFUNCTION("""COMPUTED_VALUE"""),"MUNICIPALIDAD DISTRITAL")</f>
        <v>MUNICIPALIDAD DISTRITAL</v>
      </c>
      <c r="C201" s="25" t="str">
        <f ca="1">IFERROR(__xludf.DUMMYFUNCTION("""COMPUTED_VALUE"""),"MUNICIPALIDAD DISTRITAL DE SANTIAGO DE CHILCAS")</f>
        <v>MUNICIPALIDAD DISTRITAL DE SANTIAGO DE CHILCAS</v>
      </c>
      <c r="D201" s="25" t="str">
        <f ca="1">IFERROR(__xludf.DUMMYFUNCTION("""COMPUTED_VALUE"""),"SEDE CENTRAL")</f>
        <v>SEDE CENTRAL</v>
      </c>
      <c r="E201" s="25" t="str">
        <f ca="1">IFERROR(__xludf.DUMMYFUNCTION("""COMPUTED_VALUE"""),"ANCASH")</f>
        <v>ANCASH</v>
      </c>
      <c r="F201" s="25" t="str">
        <f ca="1">IFERROR(__xludf.DUMMYFUNCTION("""COMPUTED_VALUE"""),"OCROS")</f>
        <v>OCROS</v>
      </c>
      <c r="G201" s="25" t="str">
        <f ca="1">IFERROR(__xludf.DUMMYFUNCTION("""COMPUTED_VALUE"""),"SANTIAGO DE CHILCAS")</f>
        <v>SANTIAGO DE CHILCAS</v>
      </c>
      <c r="H201" s="25" t="str">
        <f ca="1">IFERROR(__xludf.DUMMYFUNCTION("""COMPUTED_VALUE"""),"RURAL")</f>
        <v>RURAL</v>
      </c>
      <c r="I201" s="25" t="str">
        <f ca="1">IFERROR(__xludf.DUMMYFUNCTION("""COMPUTED_VALUE"""),"Prioridad 4")</f>
        <v>Prioridad 4</v>
      </c>
      <c r="J201" s="43" t="s">
        <v>261</v>
      </c>
    </row>
    <row r="202" spans="1:10">
      <c r="A202" s="41">
        <f ca="1">IFERROR(__xludf.DUMMYFUNCTION("""COMPUTED_VALUE"""),44538)</f>
        <v>44538</v>
      </c>
      <c r="B202" s="25" t="str">
        <f ca="1">IFERROR(__xludf.DUMMYFUNCTION("""COMPUTED_VALUE"""),"MUNICIPALIDAD PROVINCIAL")</f>
        <v>MUNICIPALIDAD PROVINCIAL</v>
      </c>
      <c r="C202" s="25" t="str">
        <f ca="1">IFERROR(__xludf.DUMMYFUNCTION("""COMPUTED_VALUE"""),"MUNICIPALIDAD PROVINCIAL DE PALLASCA")</f>
        <v>MUNICIPALIDAD PROVINCIAL DE PALLASCA</v>
      </c>
      <c r="D202" s="25" t="str">
        <f ca="1">IFERROR(__xludf.DUMMYFUNCTION("""COMPUTED_VALUE"""),"LA LIBERTAD")</f>
        <v>LA LIBERTAD</v>
      </c>
      <c r="E202" s="25" t="str">
        <f ca="1">IFERROR(__xludf.DUMMYFUNCTION("""COMPUTED_VALUE"""),"ANCASH")</f>
        <v>ANCASH</v>
      </c>
      <c r="F202" s="25" t="str">
        <f ca="1">IFERROR(__xludf.DUMMYFUNCTION("""COMPUTED_VALUE"""),"PALLASCA")</f>
        <v>PALLASCA</v>
      </c>
      <c r="G202" s="25" t="str">
        <f ca="1">IFERROR(__xludf.DUMMYFUNCTION("""COMPUTED_VALUE"""),"CABANA")</f>
        <v>CABANA</v>
      </c>
      <c r="H202" s="25" t="str">
        <f ca="1">IFERROR(__xludf.DUMMYFUNCTION("""COMPUTED_VALUE"""),"RURAL")</f>
        <v>RURAL</v>
      </c>
      <c r="I202" s="25" t="str">
        <f ca="1">IFERROR(__xludf.DUMMYFUNCTION("""COMPUTED_VALUE"""),"Prioridad 1")</f>
        <v>Prioridad 1</v>
      </c>
      <c r="J202" s="43" t="s">
        <v>261</v>
      </c>
    </row>
    <row r="203" spans="1:10">
      <c r="A203" s="41">
        <f ca="1">IFERROR(__xludf.DUMMYFUNCTION("""COMPUTED_VALUE"""),44554)</f>
        <v>44554</v>
      </c>
      <c r="B203" s="25" t="str">
        <f ca="1">IFERROR(__xludf.DUMMYFUNCTION("""COMPUTED_VALUE"""),"MUNICIPALIDAD DISTRITAL")</f>
        <v>MUNICIPALIDAD DISTRITAL</v>
      </c>
      <c r="C203" s="25" t="str">
        <f ca="1">IFERROR(__xludf.DUMMYFUNCTION("""COMPUTED_VALUE"""),"MUNICIPALIDAD DISTRITAL DE BOLOGNESI")</f>
        <v>MUNICIPALIDAD DISTRITAL DE BOLOGNESI</v>
      </c>
      <c r="D203" s="25" t="str">
        <f ca="1">IFERROR(__xludf.DUMMYFUNCTION("""COMPUTED_VALUE"""),"LA LIBERTAD")</f>
        <v>LA LIBERTAD</v>
      </c>
      <c r="E203" s="25" t="str">
        <f ca="1">IFERROR(__xludf.DUMMYFUNCTION("""COMPUTED_VALUE"""),"ANCASH")</f>
        <v>ANCASH</v>
      </c>
      <c r="F203" s="25" t="str">
        <f ca="1">IFERROR(__xludf.DUMMYFUNCTION("""COMPUTED_VALUE"""),"PALLASCA")</f>
        <v>PALLASCA</v>
      </c>
      <c r="G203" s="25" t="str">
        <f ca="1">IFERROR(__xludf.DUMMYFUNCTION("""COMPUTED_VALUE"""),"BOLOGNESI")</f>
        <v>BOLOGNESI</v>
      </c>
      <c r="H203" s="25" t="str">
        <f ca="1">IFERROR(__xludf.DUMMYFUNCTION("""COMPUTED_VALUE"""),"RURAL")</f>
        <v>RURAL</v>
      </c>
      <c r="I203" s="25" t="str">
        <f ca="1">IFERROR(__xludf.DUMMYFUNCTION("""COMPUTED_VALUE"""),"Prioridad 5")</f>
        <v>Prioridad 5</v>
      </c>
      <c r="J203" s="43" t="s">
        <v>261</v>
      </c>
    </row>
    <row r="204" spans="1:10">
      <c r="A204" s="41">
        <f ca="1">IFERROR(__xludf.DUMMYFUNCTION("""COMPUTED_VALUE"""),44555)</f>
        <v>44555</v>
      </c>
      <c r="B204" s="25" t="str">
        <f ca="1">IFERROR(__xludf.DUMMYFUNCTION("""COMPUTED_VALUE"""),"MUNICIPALIDAD DISTRITAL")</f>
        <v>MUNICIPALIDAD DISTRITAL</v>
      </c>
      <c r="C204" s="25" t="str">
        <f ca="1">IFERROR(__xludf.DUMMYFUNCTION("""COMPUTED_VALUE"""),"MUNICIPALIDAD DISTRITAL DE CONCHUCOS")</f>
        <v>MUNICIPALIDAD DISTRITAL DE CONCHUCOS</v>
      </c>
      <c r="D204" s="25" t="str">
        <f ca="1">IFERROR(__xludf.DUMMYFUNCTION("""COMPUTED_VALUE"""),"LA LIBERTAD")</f>
        <v>LA LIBERTAD</v>
      </c>
      <c r="E204" s="25" t="str">
        <f ca="1">IFERROR(__xludf.DUMMYFUNCTION("""COMPUTED_VALUE"""),"ANCASH")</f>
        <v>ANCASH</v>
      </c>
      <c r="F204" s="25" t="str">
        <f ca="1">IFERROR(__xludf.DUMMYFUNCTION("""COMPUTED_VALUE"""),"PALLASCA")</f>
        <v>PALLASCA</v>
      </c>
      <c r="G204" s="25" t="str">
        <f ca="1">IFERROR(__xludf.DUMMYFUNCTION("""COMPUTED_VALUE"""),"CONCHUCOS")</f>
        <v>CONCHUCOS</v>
      </c>
      <c r="H204" s="25" t="str">
        <f ca="1">IFERROR(__xludf.DUMMYFUNCTION("""COMPUTED_VALUE"""),"URBANO")</f>
        <v>URBANO</v>
      </c>
      <c r="I204" s="25" t="str">
        <f ca="1">IFERROR(__xludf.DUMMYFUNCTION("""COMPUTED_VALUE"""),"Prioridad 5")</f>
        <v>Prioridad 5</v>
      </c>
      <c r="J204" s="43" t="s">
        <v>261</v>
      </c>
    </row>
    <row r="205" spans="1:10">
      <c r="A205" s="41">
        <f ca="1">IFERROR(__xludf.DUMMYFUNCTION("""COMPUTED_VALUE"""),44557)</f>
        <v>44557</v>
      </c>
      <c r="B205" s="25" t="str">
        <f ca="1">IFERROR(__xludf.DUMMYFUNCTION("""COMPUTED_VALUE"""),"MUNICIPALIDAD DISTRITAL")</f>
        <v>MUNICIPALIDAD DISTRITAL</v>
      </c>
      <c r="C205" s="25" t="str">
        <f ca="1">IFERROR(__xludf.DUMMYFUNCTION("""COMPUTED_VALUE"""),"MUNICIPALIDAD DISTRITAL DE HUACASCHUQUE")</f>
        <v>MUNICIPALIDAD DISTRITAL DE HUACASCHUQUE</v>
      </c>
      <c r="D205" s="25" t="str">
        <f ca="1">IFERROR(__xludf.DUMMYFUNCTION("""COMPUTED_VALUE"""),"LA LIBERTAD")</f>
        <v>LA LIBERTAD</v>
      </c>
      <c r="E205" s="25" t="str">
        <f ca="1">IFERROR(__xludf.DUMMYFUNCTION("""COMPUTED_VALUE"""),"ANCASH")</f>
        <v>ANCASH</v>
      </c>
      <c r="F205" s="25" t="str">
        <f ca="1">IFERROR(__xludf.DUMMYFUNCTION("""COMPUTED_VALUE"""),"PALLASCA")</f>
        <v>PALLASCA</v>
      </c>
      <c r="G205" s="25" t="str">
        <f ca="1">IFERROR(__xludf.DUMMYFUNCTION("""COMPUTED_VALUE"""),"HUACASCHUQUE")</f>
        <v>HUACASCHUQUE</v>
      </c>
      <c r="H205" s="25" t="str">
        <f ca="1">IFERROR(__xludf.DUMMYFUNCTION("""COMPUTED_VALUE"""),"RURAL")</f>
        <v>RURAL</v>
      </c>
      <c r="I205" s="25" t="str">
        <f ca="1">IFERROR(__xludf.DUMMYFUNCTION("""COMPUTED_VALUE"""),"Prioridad 4")</f>
        <v>Prioridad 4</v>
      </c>
      <c r="J205" s="43" t="s">
        <v>261</v>
      </c>
    </row>
    <row r="206" spans="1:10">
      <c r="A206" s="41">
        <f ca="1">IFERROR(__xludf.DUMMYFUNCTION("""COMPUTED_VALUE"""),44561)</f>
        <v>44561</v>
      </c>
      <c r="B206" s="25" t="str">
        <f ca="1">IFERROR(__xludf.DUMMYFUNCTION("""COMPUTED_VALUE"""),"MUNICIPALIDAD DISTRITAL")</f>
        <v>MUNICIPALIDAD DISTRITAL</v>
      </c>
      <c r="C206" s="25" t="str">
        <f ca="1">IFERROR(__xludf.DUMMYFUNCTION("""COMPUTED_VALUE"""),"MUNICIPALIDAD DISTRITAL DE HUANDOVAL")</f>
        <v>MUNICIPALIDAD DISTRITAL DE HUANDOVAL</v>
      </c>
      <c r="D206" s="25" t="str">
        <f ca="1">IFERROR(__xludf.DUMMYFUNCTION("""COMPUTED_VALUE"""),"LA LIBERTAD")</f>
        <v>LA LIBERTAD</v>
      </c>
      <c r="E206" s="25" t="str">
        <f ca="1">IFERROR(__xludf.DUMMYFUNCTION("""COMPUTED_VALUE"""),"ANCASH")</f>
        <v>ANCASH</v>
      </c>
      <c r="F206" s="25" t="str">
        <f ca="1">IFERROR(__xludf.DUMMYFUNCTION("""COMPUTED_VALUE"""),"PALLASCA")</f>
        <v>PALLASCA</v>
      </c>
      <c r="G206" s="25" t="str">
        <f ca="1">IFERROR(__xludf.DUMMYFUNCTION("""COMPUTED_VALUE"""),"HUANDOVAL")</f>
        <v>HUANDOVAL</v>
      </c>
      <c r="H206" s="25" t="str">
        <f ca="1">IFERROR(__xludf.DUMMYFUNCTION("""COMPUTED_VALUE"""),"RURAL")</f>
        <v>RURAL</v>
      </c>
      <c r="I206" s="25" t="str">
        <f ca="1">IFERROR(__xludf.DUMMYFUNCTION("""COMPUTED_VALUE"""),"Prioridad 3")</f>
        <v>Prioridad 3</v>
      </c>
      <c r="J206" s="43" t="s">
        <v>261</v>
      </c>
    </row>
    <row r="207" spans="1:10">
      <c r="A207" s="41">
        <f ca="1">IFERROR(__xludf.DUMMYFUNCTION("""COMPUTED_VALUE"""),44562)</f>
        <v>44562</v>
      </c>
      <c r="B207" s="25" t="str">
        <f ca="1">IFERROR(__xludf.DUMMYFUNCTION("""COMPUTED_VALUE"""),"MUNICIPALIDAD DISTRITAL")</f>
        <v>MUNICIPALIDAD DISTRITAL</v>
      </c>
      <c r="C207" s="25" t="str">
        <f ca="1">IFERROR(__xludf.DUMMYFUNCTION("""COMPUTED_VALUE"""),"MUNICIPALIDAD DISTRITAL DE LACABAMBA")</f>
        <v>MUNICIPALIDAD DISTRITAL DE LACABAMBA</v>
      </c>
      <c r="D207" s="25" t="str">
        <f ca="1">IFERROR(__xludf.DUMMYFUNCTION("""COMPUTED_VALUE"""),"LA LIBERTAD")</f>
        <v>LA LIBERTAD</v>
      </c>
      <c r="E207" s="25" t="str">
        <f ca="1">IFERROR(__xludf.DUMMYFUNCTION("""COMPUTED_VALUE"""),"ANCASH")</f>
        <v>ANCASH</v>
      </c>
      <c r="F207" s="25" t="str">
        <f ca="1">IFERROR(__xludf.DUMMYFUNCTION("""COMPUTED_VALUE"""),"PALLASCA")</f>
        <v>PALLASCA</v>
      </c>
      <c r="G207" s="25" t="str">
        <f ca="1">IFERROR(__xludf.DUMMYFUNCTION("""COMPUTED_VALUE"""),"LACABAMBA")</f>
        <v>LACABAMBA</v>
      </c>
      <c r="H207" s="25" t="str">
        <f ca="1">IFERROR(__xludf.DUMMYFUNCTION("""COMPUTED_VALUE"""),"RURAL")</f>
        <v>RURAL</v>
      </c>
      <c r="I207" s="25" t="str">
        <f ca="1">IFERROR(__xludf.DUMMYFUNCTION("""COMPUTED_VALUE"""),"Prioridad 3")</f>
        <v>Prioridad 3</v>
      </c>
      <c r="J207" s="43" t="s">
        <v>261</v>
      </c>
    </row>
    <row r="208" spans="1:10">
      <c r="A208" s="41">
        <f ca="1">IFERROR(__xludf.DUMMYFUNCTION("""COMPUTED_VALUE"""),44564)</f>
        <v>44564</v>
      </c>
      <c r="B208" s="25" t="str">
        <f ca="1">IFERROR(__xludf.DUMMYFUNCTION("""COMPUTED_VALUE"""),"MUNICIPALIDAD DISTRITAL")</f>
        <v>MUNICIPALIDAD DISTRITAL</v>
      </c>
      <c r="C208" s="25" t="str">
        <f ca="1">IFERROR(__xludf.DUMMYFUNCTION("""COMPUTED_VALUE"""),"MUNICIPALIDAD DISTRITAL DE LLAPO")</f>
        <v>MUNICIPALIDAD DISTRITAL DE LLAPO</v>
      </c>
      <c r="D208" s="25" t="str">
        <f ca="1">IFERROR(__xludf.DUMMYFUNCTION("""COMPUTED_VALUE"""),"LA LIBERTAD")</f>
        <v>LA LIBERTAD</v>
      </c>
      <c r="E208" s="25" t="str">
        <f ca="1">IFERROR(__xludf.DUMMYFUNCTION("""COMPUTED_VALUE"""),"ANCASH")</f>
        <v>ANCASH</v>
      </c>
      <c r="F208" s="25" t="str">
        <f ca="1">IFERROR(__xludf.DUMMYFUNCTION("""COMPUTED_VALUE"""),"PALLASCA")</f>
        <v>PALLASCA</v>
      </c>
      <c r="G208" s="25" t="str">
        <f ca="1">IFERROR(__xludf.DUMMYFUNCTION("""COMPUTED_VALUE"""),"LLAPO")</f>
        <v>LLAPO</v>
      </c>
      <c r="H208" s="25" t="str">
        <f ca="1">IFERROR(__xludf.DUMMYFUNCTION("""COMPUTED_VALUE"""),"RURAL")</f>
        <v>RURAL</v>
      </c>
      <c r="I208" s="25" t="str">
        <f ca="1">IFERROR(__xludf.DUMMYFUNCTION("""COMPUTED_VALUE"""),"Prioridad 4")</f>
        <v>Prioridad 4</v>
      </c>
      <c r="J208" s="43" t="s">
        <v>261</v>
      </c>
    </row>
    <row r="209" spans="1:10">
      <c r="A209" s="41">
        <f ca="1">IFERROR(__xludf.DUMMYFUNCTION("""COMPUTED_VALUE"""),44665)</f>
        <v>44665</v>
      </c>
      <c r="B209" s="25" t="str">
        <f ca="1">IFERROR(__xludf.DUMMYFUNCTION("""COMPUTED_VALUE"""),"MUNICIPALIDAD DISTRITAL")</f>
        <v>MUNICIPALIDAD DISTRITAL</v>
      </c>
      <c r="C209" s="25" t="str">
        <f ca="1">IFERROR(__xludf.DUMMYFUNCTION("""COMPUTED_VALUE"""),"MUNICIPALIDAD DISTRITAL DE PALLASCA")</f>
        <v>MUNICIPALIDAD DISTRITAL DE PALLASCA</v>
      </c>
      <c r="D209" s="25" t="str">
        <f ca="1">IFERROR(__xludf.DUMMYFUNCTION("""COMPUTED_VALUE"""),"LA LIBERTAD")</f>
        <v>LA LIBERTAD</v>
      </c>
      <c r="E209" s="25" t="str">
        <f ca="1">IFERROR(__xludf.DUMMYFUNCTION("""COMPUTED_VALUE"""),"ANCASH")</f>
        <v>ANCASH</v>
      </c>
      <c r="F209" s="25" t="str">
        <f ca="1">IFERROR(__xludf.DUMMYFUNCTION("""COMPUTED_VALUE"""),"PALLASCA")</f>
        <v>PALLASCA</v>
      </c>
      <c r="G209" s="25" t="str">
        <f ca="1">IFERROR(__xludf.DUMMYFUNCTION("""COMPUTED_VALUE"""),"PALLASCA")</f>
        <v>PALLASCA</v>
      </c>
      <c r="H209" s="25" t="str">
        <f ca="1">IFERROR(__xludf.DUMMYFUNCTION("""COMPUTED_VALUE"""),"RURAL")</f>
        <v>RURAL</v>
      </c>
      <c r="I209" s="25" t="str">
        <f ca="1">IFERROR(__xludf.DUMMYFUNCTION("""COMPUTED_VALUE"""),"Prioridad 2")</f>
        <v>Prioridad 2</v>
      </c>
      <c r="J209" s="43" t="s">
        <v>261</v>
      </c>
    </row>
    <row r="210" spans="1:10">
      <c r="A210" s="41">
        <f ca="1">IFERROR(__xludf.DUMMYFUNCTION("""COMPUTED_VALUE"""),44666)</f>
        <v>44666</v>
      </c>
      <c r="B210" s="25" t="str">
        <f ca="1">IFERROR(__xludf.DUMMYFUNCTION("""COMPUTED_VALUE"""),"MUNICIPALIDAD DISTRITAL")</f>
        <v>MUNICIPALIDAD DISTRITAL</v>
      </c>
      <c r="C210" s="25" t="str">
        <f ca="1">IFERROR(__xludf.DUMMYFUNCTION("""COMPUTED_VALUE"""),"MUNICIPALIDAD DISTRITAL DE PAMPAS EN PALLASCA")</f>
        <v>MUNICIPALIDAD DISTRITAL DE PAMPAS EN PALLASCA</v>
      </c>
      <c r="D210" s="25" t="str">
        <f ca="1">IFERROR(__xludf.DUMMYFUNCTION("""COMPUTED_VALUE"""),"LA LIBERTAD")</f>
        <v>LA LIBERTAD</v>
      </c>
      <c r="E210" s="25" t="str">
        <f ca="1">IFERROR(__xludf.DUMMYFUNCTION("""COMPUTED_VALUE"""),"ANCASH")</f>
        <v>ANCASH</v>
      </c>
      <c r="F210" s="25" t="str">
        <f ca="1">IFERROR(__xludf.DUMMYFUNCTION("""COMPUTED_VALUE"""),"PALLASCA")</f>
        <v>PALLASCA</v>
      </c>
      <c r="G210" s="25" t="str">
        <f ca="1">IFERROR(__xludf.DUMMYFUNCTION("""COMPUTED_VALUE"""),"PAMPAS")</f>
        <v>PAMPAS</v>
      </c>
      <c r="H210" s="25" t="str">
        <f ca="1">IFERROR(__xludf.DUMMYFUNCTION("""COMPUTED_VALUE"""),"URBANO")</f>
        <v>URBANO</v>
      </c>
      <c r="I210" s="25" t="str">
        <f ca="1">IFERROR(__xludf.DUMMYFUNCTION("""COMPUTED_VALUE"""),"Prioridad 3")</f>
        <v>Prioridad 3</v>
      </c>
      <c r="J210" s="43" t="s">
        <v>261</v>
      </c>
    </row>
    <row r="211" spans="1:10">
      <c r="A211" s="41">
        <f ca="1">IFERROR(__xludf.DUMMYFUNCTION("""COMPUTED_VALUE"""),44682)</f>
        <v>44682</v>
      </c>
      <c r="B211" s="25" t="str">
        <f ca="1">IFERROR(__xludf.DUMMYFUNCTION("""COMPUTED_VALUE"""),"MUNICIPALIDAD DISTRITAL")</f>
        <v>MUNICIPALIDAD DISTRITAL</v>
      </c>
      <c r="C211" s="25" t="str">
        <f ca="1">IFERROR(__xludf.DUMMYFUNCTION("""COMPUTED_VALUE"""),"MUNICIPALIDAD DISTRITAL DE SANTA ROSA EN PALLASCA")</f>
        <v>MUNICIPALIDAD DISTRITAL DE SANTA ROSA EN PALLASCA</v>
      </c>
      <c r="D211" s="25" t="str">
        <f ca="1">IFERROR(__xludf.DUMMYFUNCTION("""COMPUTED_VALUE"""),"LA LIBERTAD")</f>
        <v>LA LIBERTAD</v>
      </c>
      <c r="E211" s="25" t="str">
        <f ca="1">IFERROR(__xludf.DUMMYFUNCTION("""COMPUTED_VALUE"""),"ANCASH")</f>
        <v>ANCASH</v>
      </c>
      <c r="F211" s="25" t="str">
        <f ca="1">IFERROR(__xludf.DUMMYFUNCTION("""COMPUTED_VALUE"""),"PALLASCA")</f>
        <v>PALLASCA</v>
      </c>
      <c r="G211" s="25" t="str">
        <f ca="1">IFERROR(__xludf.DUMMYFUNCTION("""COMPUTED_VALUE"""),"SANTA ROSA")</f>
        <v>SANTA ROSA</v>
      </c>
      <c r="H211" s="25" t="str">
        <f ca="1">IFERROR(__xludf.DUMMYFUNCTION("""COMPUTED_VALUE"""),"RURAL")</f>
        <v>RURAL</v>
      </c>
      <c r="I211" s="25" t="str">
        <f ca="1">IFERROR(__xludf.DUMMYFUNCTION("""COMPUTED_VALUE"""),"Prioridad 5")</f>
        <v>Prioridad 5</v>
      </c>
      <c r="J211" s="43" t="s">
        <v>261</v>
      </c>
    </row>
    <row r="212" spans="1:10">
      <c r="A212" s="41">
        <f ca="1">IFERROR(__xludf.DUMMYFUNCTION("""COMPUTED_VALUE"""),44683)</f>
        <v>44683</v>
      </c>
      <c r="B212" s="25" t="str">
        <f ca="1">IFERROR(__xludf.DUMMYFUNCTION("""COMPUTED_VALUE"""),"MUNICIPALIDAD DISTRITAL")</f>
        <v>MUNICIPALIDAD DISTRITAL</v>
      </c>
      <c r="C212" s="25" t="str">
        <f ca="1">IFERROR(__xludf.DUMMYFUNCTION("""COMPUTED_VALUE"""),"MUNICIPALIDAD DISTRITAL DE TAUCA")</f>
        <v>MUNICIPALIDAD DISTRITAL DE TAUCA</v>
      </c>
      <c r="D212" s="25" t="str">
        <f ca="1">IFERROR(__xludf.DUMMYFUNCTION("""COMPUTED_VALUE"""),"LA LIBERTAD")</f>
        <v>LA LIBERTAD</v>
      </c>
      <c r="E212" s="25" t="str">
        <f ca="1">IFERROR(__xludf.DUMMYFUNCTION("""COMPUTED_VALUE"""),"ANCASH")</f>
        <v>ANCASH</v>
      </c>
      <c r="F212" s="25" t="str">
        <f ca="1">IFERROR(__xludf.DUMMYFUNCTION("""COMPUTED_VALUE"""),"PALLASCA")</f>
        <v>PALLASCA</v>
      </c>
      <c r="G212" s="25" t="str">
        <f ca="1">IFERROR(__xludf.DUMMYFUNCTION("""COMPUTED_VALUE"""),"TAUCA")</f>
        <v>TAUCA</v>
      </c>
      <c r="H212" s="25" t="str">
        <f ca="1">IFERROR(__xludf.DUMMYFUNCTION("""COMPUTED_VALUE"""),"RURAL")</f>
        <v>RURAL</v>
      </c>
      <c r="I212" s="25" t="str">
        <f ca="1">IFERROR(__xludf.DUMMYFUNCTION("""COMPUTED_VALUE"""),"Prioridad 4")</f>
        <v>Prioridad 4</v>
      </c>
      <c r="J212" s="43" t="s">
        <v>261</v>
      </c>
    </row>
    <row r="213" spans="1:10">
      <c r="A213" s="41">
        <f ca="1">IFERROR(__xludf.DUMMYFUNCTION("""COMPUTED_VALUE"""),44725)</f>
        <v>44725</v>
      </c>
      <c r="B213" s="25" t="str">
        <f ca="1">IFERROR(__xludf.DUMMYFUNCTION("""COMPUTED_VALUE"""),"MUNICIPALIDAD PROVINCIAL")</f>
        <v>MUNICIPALIDAD PROVINCIAL</v>
      </c>
      <c r="C213" s="25" t="str">
        <f ca="1">IFERROR(__xludf.DUMMYFUNCTION("""COMPUTED_VALUE"""),"MUNICIPALIDAD PROVINCIAL DE POMABAMBA")</f>
        <v>MUNICIPALIDAD PROVINCIAL DE POMABAMBA</v>
      </c>
      <c r="D213" s="25" t="str">
        <f ca="1">IFERROR(__xludf.DUMMYFUNCTION("""COMPUTED_VALUE"""),"LA LIBERTAD")</f>
        <v>LA LIBERTAD</v>
      </c>
      <c r="E213" s="25" t="str">
        <f ca="1">IFERROR(__xludf.DUMMYFUNCTION("""COMPUTED_VALUE"""),"ANCASH")</f>
        <v>ANCASH</v>
      </c>
      <c r="F213" s="25" t="str">
        <f ca="1">IFERROR(__xludf.DUMMYFUNCTION("""COMPUTED_VALUE"""),"POMABAMBA")</f>
        <v>POMABAMBA</v>
      </c>
      <c r="G213" s="25" t="str">
        <f ca="1">IFERROR(__xludf.DUMMYFUNCTION("""COMPUTED_VALUE"""),"POMABAMBA")</f>
        <v>POMABAMBA</v>
      </c>
      <c r="H213" s="25" t="str">
        <f ca="1">IFERROR(__xludf.DUMMYFUNCTION("""COMPUTED_VALUE"""),"RURAL")</f>
        <v>RURAL</v>
      </c>
      <c r="I213" s="25" t="str">
        <f ca="1">IFERROR(__xludf.DUMMYFUNCTION("""COMPUTED_VALUE"""),"Prioridad 1")</f>
        <v>Prioridad 1</v>
      </c>
      <c r="J213" s="43" t="s">
        <v>261</v>
      </c>
    </row>
    <row r="214" spans="1:10">
      <c r="A214" s="41">
        <f ca="1">IFERROR(__xludf.DUMMYFUNCTION("""COMPUTED_VALUE"""),44736)</f>
        <v>44736</v>
      </c>
      <c r="B214" s="25" t="str">
        <f ca="1">IFERROR(__xludf.DUMMYFUNCTION("""COMPUTED_VALUE"""),"MUNICIPALIDAD DISTRITAL")</f>
        <v>MUNICIPALIDAD DISTRITAL</v>
      </c>
      <c r="C214" s="25" t="str">
        <f ca="1">IFERROR(__xludf.DUMMYFUNCTION("""COMPUTED_VALUE"""),"MUNICIPALIDAD DISTRITAL DE HUAYLLAN")</f>
        <v>MUNICIPALIDAD DISTRITAL DE HUAYLLAN</v>
      </c>
      <c r="D214" s="25" t="str">
        <f ca="1">IFERROR(__xludf.DUMMYFUNCTION("""COMPUTED_VALUE"""),"LA LIBERTAD")</f>
        <v>LA LIBERTAD</v>
      </c>
      <c r="E214" s="25" t="str">
        <f ca="1">IFERROR(__xludf.DUMMYFUNCTION("""COMPUTED_VALUE"""),"ANCASH")</f>
        <v>ANCASH</v>
      </c>
      <c r="F214" s="25" t="str">
        <f ca="1">IFERROR(__xludf.DUMMYFUNCTION("""COMPUTED_VALUE"""),"POMABAMBA")</f>
        <v>POMABAMBA</v>
      </c>
      <c r="G214" s="25" t="str">
        <f ca="1">IFERROR(__xludf.DUMMYFUNCTION("""COMPUTED_VALUE"""),"HUAYLLAN")</f>
        <v>HUAYLLAN</v>
      </c>
      <c r="H214" s="25" t="str">
        <f ca="1">IFERROR(__xludf.DUMMYFUNCTION("""COMPUTED_VALUE"""),"RURAL")</f>
        <v>RURAL</v>
      </c>
      <c r="I214" s="25" t="str">
        <f ca="1">IFERROR(__xludf.DUMMYFUNCTION("""COMPUTED_VALUE"""),"Prioridad 5")</f>
        <v>Prioridad 5</v>
      </c>
      <c r="J214" s="43" t="s">
        <v>261</v>
      </c>
    </row>
    <row r="215" spans="1:10">
      <c r="A215" s="41">
        <f ca="1">IFERROR(__xludf.DUMMYFUNCTION("""COMPUTED_VALUE"""),44741)</f>
        <v>44741</v>
      </c>
      <c r="B215" s="25" t="str">
        <f ca="1">IFERROR(__xludf.DUMMYFUNCTION("""COMPUTED_VALUE"""),"MUNICIPALIDAD DISTRITAL")</f>
        <v>MUNICIPALIDAD DISTRITAL</v>
      </c>
      <c r="C215" s="25" t="str">
        <f ca="1">IFERROR(__xludf.DUMMYFUNCTION("""COMPUTED_VALUE"""),"MUNICIPALIDAD DISTRITAL DE PAROBAMBA")</f>
        <v>MUNICIPALIDAD DISTRITAL DE PAROBAMBA</v>
      </c>
      <c r="D215" s="25" t="str">
        <f ca="1">IFERROR(__xludf.DUMMYFUNCTION("""COMPUTED_VALUE"""),"LA LIBERTAD")</f>
        <v>LA LIBERTAD</v>
      </c>
      <c r="E215" s="25" t="str">
        <f ca="1">IFERROR(__xludf.DUMMYFUNCTION("""COMPUTED_VALUE"""),"ANCASH")</f>
        <v>ANCASH</v>
      </c>
      <c r="F215" s="25" t="str">
        <f ca="1">IFERROR(__xludf.DUMMYFUNCTION("""COMPUTED_VALUE"""),"POMABAMBA")</f>
        <v>POMABAMBA</v>
      </c>
      <c r="G215" s="25" t="str">
        <f ca="1">IFERROR(__xludf.DUMMYFUNCTION("""COMPUTED_VALUE"""),"PAROBAMBA")</f>
        <v>PAROBAMBA</v>
      </c>
      <c r="H215" s="25" t="str">
        <f ca="1">IFERROR(__xludf.DUMMYFUNCTION("""COMPUTED_VALUE"""),"RURAL")</f>
        <v>RURAL</v>
      </c>
      <c r="I215" s="25" t="str">
        <f ca="1">IFERROR(__xludf.DUMMYFUNCTION("""COMPUTED_VALUE"""),"Prioridad 5")</f>
        <v>Prioridad 5</v>
      </c>
      <c r="J215" s="43" t="s">
        <v>261</v>
      </c>
    </row>
    <row r="216" spans="1:10">
      <c r="A216" s="41">
        <f ca="1">IFERROR(__xludf.DUMMYFUNCTION("""COMPUTED_VALUE"""),44770)</f>
        <v>44770</v>
      </c>
      <c r="B216" s="25" t="str">
        <f ca="1">IFERROR(__xludf.DUMMYFUNCTION("""COMPUTED_VALUE"""),"MUNICIPALIDAD DISTRITAL")</f>
        <v>MUNICIPALIDAD DISTRITAL</v>
      </c>
      <c r="C216" s="25" t="str">
        <f ca="1">IFERROR(__xludf.DUMMYFUNCTION("""COMPUTED_VALUE"""),"MUNICIPALIDAD DISTRITAL DE QUINUABAMBA")</f>
        <v>MUNICIPALIDAD DISTRITAL DE QUINUABAMBA</v>
      </c>
      <c r="D216" s="25" t="str">
        <f ca="1">IFERROR(__xludf.DUMMYFUNCTION("""COMPUTED_VALUE"""),"LA LIBERTAD")</f>
        <v>LA LIBERTAD</v>
      </c>
      <c r="E216" s="25" t="str">
        <f ca="1">IFERROR(__xludf.DUMMYFUNCTION("""COMPUTED_VALUE"""),"ANCASH")</f>
        <v>ANCASH</v>
      </c>
      <c r="F216" s="25" t="str">
        <f ca="1">IFERROR(__xludf.DUMMYFUNCTION("""COMPUTED_VALUE"""),"POMABAMBA")</f>
        <v>POMABAMBA</v>
      </c>
      <c r="G216" s="25" t="str">
        <f ca="1">IFERROR(__xludf.DUMMYFUNCTION("""COMPUTED_VALUE"""),"QUINUABAMBA")</f>
        <v>QUINUABAMBA</v>
      </c>
      <c r="H216" s="25" t="str">
        <f ca="1">IFERROR(__xludf.DUMMYFUNCTION("""COMPUTED_VALUE"""),"RURAL")</f>
        <v>RURAL</v>
      </c>
      <c r="I216" s="25" t="str">
        <f ca="1">IFERROR(__xludf.DUMMYFUNCTION("""COMPUTED_VALUE"""),"Prioridad 5")</f>
        <v>Prioridad 5</v>
      </c>
      <c r="J216" s="43" t="s">
        <v>261</v>
      </c>
    </row>
    <row r="217" spans="1:10">
      <c r="A217" s="41">
        <f ca="1">IFERROR(__xludf.DUMMYFUNCTION("""COMPUTED_VALUE"""),44771)</f>
        <v>44771</v>
      </c>
      <c r="B217" s="25" t="str">
        <f ca="1">IFERROR(__xludf.DUMMYFUNCTION("""COMPUTED_VALUE"""),"MUNICIPALIDAD PROVINCIAL")</f>
        <v>MUNICIPALIDAD PROVINCIAL</v>
      </c>
      <c r="C217" s="25" t="str">
        <f ca="1">IFERROR(__xludf.DUMMYFUNCTION("""COMPUTED_VALUE"""),"MUNICIPALIDAD PROVINCIAL DE RECUAY")</f>
        <v>MUNICIPALIDAD PROVINCIAL DE RECUAY</v>
      </c>
      <c r="D217" s="25" t="str">
        <f ca="1">IFERROR(__xludf.DUMMYFUNCTION("""COMPUTED_VALUE"""),"LA LIBERTAD")</f>
        <v>LA LIBERTAD</v>
      </c>
      <c r="E217" s="25" t="str">
        <f ca="1">IFERROR(__xludf.DUMMYFUNCTION("""COMPUTED_VALUE"""),"ANCASH")</f>
        <v>ANCASH</v>
      </c>
      <c r="F217" s="25" t="str">
        <f ca="1">IFERROR(__xludf.DUMMYFUNCTION("""COMPUTED_VALUE"""),"RECUAY")</f>
        <v>RECUAY</v>
      </c>
      <c r="G217" s="25" t="str">
        <f ca="1">IFERROR(__xludf.DUMMYFUNCTION("""COMPUTED_VALUE"""),"RECUAY")</f>
        <v>RECUAY</v>
      </c>
      <c r="H217" s="25" t="str">
        <f ca="1">IFERROR(__xludf.DUMMYFUNCTION("""COMPUTED_VALUE"""),"URBANO")</f>
        <v>URBANO</v>
      </c>
      <c r="I217" s="25" t="str">
        <f ca="1">IFERROR(__xludf.DUMMYFUNCTION("""COMPUTED_VALUE"""),"Prioridad 3")</f>
        <v>Prioridad 3</v>
      </c>
      <c r="J217" s="43" t="s">
        <v>261</v>
      </c>
    </row>
    <row r="218" spans="1:10">
      <c r="A218" s="41">
        <f ca="1">IFERROR(__xludf.DUMMYFUNCTION("""COMPUTED_VALUE"""),44802)</f>
        <v>44802</v>
      </c>
      <c r="B218" s="25" t="str">
        <f ca="1">IFERROR(__xludf.DUMMYFUNCTION("""COMPUTED_VALUE"""),"MUNICIPALIDAD DISTRITAL")</f>
        <v>MUNICIPALIDAD DISTRITAL</v>
      </c>
      <c r="C218" s="25" t="str">
        <f ca="1">IFERROR(__xludf.DUMMYFUNCTION("""COMPUTED_VALUE"""),"MUNICIPALIDAD DISTRITAL DE CATAC")</f>
        <v>MUNICIPALIDAD DISTRITAL DE CATAC</v>
      </c>
      <c r="D218" s="25" t="str">
        <f ca="1">IFERROR(__xludf.DUMMYFUNCTION("""COMPUTED_VALUE"""),"LA LIBERTAD")</f>
        <v>LA LIBERTAD</v>
      </c>
      <c r="E218" s="25" t="str">
        <f ca="1">IFERROR(__xludf.DUMMYFUNCTION("""COMPUTED_VALUE"""),"ANCASH")</f>
        <v>ANCASH</v>
      </c>
      <c r="F218" s="25" t="str">
        <f ca="1">IFERROR(__xludf.DUMMYFUNCTION("""COMPUTED_VALUE"""),"RECUAY")</f>
        <v>RECUAY</v>
      </c>
      <c r="G218" s="25" t="str">
        <f ca="1">IFERROR(__xludf.DUMMYFUNCTION("""COMPUTED_VALUE"""),"CATAC")</f>
        <v>CATAC</v>
      </c>
      <c r="H218" s="25" t="str">
        <f ca="1">IFERROR(__xludf.DUMMYFUNCTION("""COMPUTED_VALUE"""),"URBANO")</f>
        <v>URBANO</v>
      </c>
      <c r="I218" s="25" t="str">
        <f ca="1">IFERROR(__xludf.DUMMYFUNCTION("""COMPUTED_VALUE"""),"Prioridad 1")</f>
        <v>Prioridad 1</v>
      </c>
      <c r="J218" s="43" t="s">
        <v>261</v>
      </c>
    </row>
    <row r="219" spans="1:10">
      <c r="A219" s="41">
        <f ca="1">IFERROR(__xludf.DUMMYFUNCTION("""COMPUTED_VALUE"""),44803)</f>
        <v>44803</v>
      </c>
      <c r="B219" s="25" t="str">
        <f ca="1">IFERROR(__xludf.DUMMYFUNCTION("""COMPUTED_VALUE"""),"MUNICIPALIDAD DISTRITAL")</f>
        <v>MUNICIPALIDAD DISTRITAL</v>
      </c>
      <c r="C219" s="25" t="str">
        <f ca="1">IFERROR(__xludf.DUMMYFUNCTION("""COMPUTED_VALUE"""),"MUNICIPALIDAD DISTRITAL DE COTAPARACO")</f>
        <v>MUNICIPALIDAD DISTRITAL DE COTAPARACO</v>
      </c>
      <c r="D219" s="25" t="str">
        <f ca="1">IFERROR(__xludf.DUMMYFUNCTION("""COMPUTED_VALUE"""),"LA LIBERTAD")</f>
        <v>LA LIBERTAD</v>
      </c>
      <c r="E219" s="25" t="str">
        <f ca="1">IFERROR(__xludf.DUMMYFUNCTION("""COMPUTED_VALUE"""),"ANCASH")</f>
        <v>ANCASH</v>
      </c>
      <c r="F219" s="25" t="str">
        <f ca="1">IFERROR(__xludf.DUMMYFUNCTION("""COMPUTED_VALUE"""),"RECUAY")</f>
        <v>RECUAY</v>
      </c>
      <c r="G219" s="25" t="str">
        <f ca="1">IFERROR(__xludf.DUMMYFUNCTION("""COMPUTED_VALUE"""),"COTAPARACO")</f>
        <v>COTAPARACO</v>
      </c>
      <c r="H219" s="25" t="str">
        <f ca="1">IFERROR(__xludf.DUMMYFUNCTION("""COMPUTED_VALUE"""),"RURAL")</f>
        <v>RURAL</v>
      </c>
      <c r="I219" s="25" t="str">
        <f ca="1">IFERROR(__xludf.DUMMYFUNCTION("""COMPUTED_VALUE"""),"Prioridad 2")</f>
        <v>Prioridad 2</v>
      </c>
      <c r="J219" s="43" t="s">
        <v>261</v>
      </c>
    </row>
    <row r="220" spans="1:10">
      <c r="A220" s="41">
        <f ca="1">IFERROR(__xludf.DUMMYFUNCTION("""COMPUTED_VALUE"""),44841)</f>
        <v>44841</v>
      </c>
      <c r="B220" s="25" t="str">
        <f ca="1">IFERROR(__xludf.DUMMYFUNCTION("""COMPUTED_VALUE"""),"MUNICIPALIDAD DISTRITAL")</f>
        <v>MUNICIPALIDAD DISTRITAL</v>
      </c>
      <c r="C220" s="25" t="str">
        <f ca="1">IFERROR(__xludf.DUMMYFUNCTION("""COMPUTED_VALUE"""),"MUNICIPALIDAD DISTRITAL DE HUAYLLAPAMPA")</f>
        <v>MUNICIPALIDAD DISTRITAL DE HUAYLLAPAMPA</v>
      </c>
      <c r="D220" s="25" t="str">
        <f ca="1">IFERROR(__xludf.DUMMYFUNCTION("""COMPUTED_VALUE"""),"LA LIBERTAD")</f>
        <v>LA LIBERTAD</v>
      </c>
      <c r="E220" s="25" t="str">
        <f ca="1">IFERROR(__xludf.DUMMYFUNCTION("""COMPUTED_VALUE"""),"ANCASH")</f>
        <v>ANCASH</v>
      </c>
      <c r="F220" s="25" t="str">
        <f ca="1">IFERROR(__xludf.DUMMYFUNCTION("""COMPUTED_VALUE"""),"RECUAY")</f>
        <v>RECUAY</v>
      </c>
      <c r="G220" s="25" t="str">
        <f ca="1">IFERROR(__xludf.DUMMYFUNCTION("""COMPUTED_VALUE"""),"HUAYLLAPAMPA")</f>
        <v>HUAYLLAPAMPA</v>
      </c>
      <c r="H220" s="25" t="str">
        <f ca="1">IFERROR(__xludf.DUMMYFUNCTION("""COMPUTED_VALUE"""),"RURAL")</f>
        <v>RURAL</v>
      </c>
      <c r="I220" s="25" t="str">
        <f ca="1">IFERROR(__xludf.DUMMYFUNCTION("""COMPUTED_VALUE"""),"Prioridad 4")</f>
        <v>Prioridad 4</v>
      </c>
      <c r="J220" s="43" t="s">
        <v>261</v>
      </c>
    </row>
    <row r="221" spans="1:10">
      <c r="A221" s="41">
        <f ca="1">IFERROR(__xludf.DUMMYFUNCTION("""COMPUTED_VALUE"""),44842)</f>
        <v>44842</v>
      </c>
      <c r="B221" s="25" t="str">
        <f ca="1">IFERROR(__xludf.DUMMYFUNCTION("""COMPUTED_VALUE"""),"MUNICIPALIDAD DISTRITAL")</f>
        <v>MUNICIPALIDAD DISTRITAL</v>
      </c>
      <c r="C221" s="25" t="str">
        <f ca="1">IFERROR(__xludf.DUMMYFUNCTION("""COMPUTED_VALUE"""),"MUNICIPALIDAD DISTRITAL DE LLACLLIN")</f>
        <v>MUNICIPALIDAD DISTRITAL DE LLACLLIN</v>
      </c>
      <c r="D221" s="25" t="str">
        <f ca="1">IFERROR(__xludf.DUMMYFUNCTION("""COMPUTED_VALUE"""),"LA LIBERTAD")</f>
        <v>LA LIBERTAD</v>
      </c>
      <c r="E221" s="25" t="str">
        <f ca="1">IFERROR(__xludf.DUMMYFUNCTION("""COMPUTED_VALUE"""),"ANCASH")</f>
        <v>ANCASH</v>
      </c>
      <c r="F221" s="25" t="str">
        <f ca="1">IFERROR(__xludf.DUMMYFUNCTION("""COMPUTED_VALUE"""),"RECUAY")</f>
        <v>RECUAY</v>
      </c>
      <c r="G221" s="25" t="str">
        <f ca="1">IFERROR(__xludf.DUMMYFUNCTION("""COMPUTED_VALUE"""),"LLACLLIN")</f>
        <v>LLACLLIN</v>
      </c>
      <c r="H221" s="25" t="str">
        <f ca="1">IFERROR(__xludf.DUMMYFUNCTION("""COMPUTED_VALUE"""),"RURAL")</f>
        <v>RURAL</v>
      </c>
      <c r="I221" s="25" t="str">
        <f ca="1">IFERROR(__xludf.DUMMYFUNCTION("""COMPUTED_VALUE"""),"Prioridad 4")</f>
        <v>Prioridad 4</v>
      </c>
      <c r="J221" s="43" t="s">
        <v>261</v>
      </c>
    </row>
    <row r="222" spans="1:10">
      <c r="A222" s="41">
        <f ca="1">IFERROR(__xludf.DUMMYFUNCTION("""COMPUTED_VALUE"""),44865)</f>
        <v>44865</v>
      </c>
      <c r="B222" s="25" t="str">
        <f ca="1">IFERROR(__xludf.DUMMYFUNCTION("""COMPUTED_VALUE"""),"MUNICIPALIDAD DISTRITAL")</f>
        <v>MUNICIPALIDAD DISTRITAL</v>
      </c>
      <c r="C222" s="25" t="str">
        <f ca="1">IFERROR(__xludf.DUMMYFUNCTION("""COMPUTED_VALUE"""),"MUNICIPALIDAD DISTRITAL DE MARCA")</f>
        <v>MUNICIPALIDAD DISTRITAL DE MARCA</v>
      </c>
      <c r="D222" s="25" t="str">
        <f ca="1">IFERROR(__xludf.DUMMYFUNCTION("""COMPUTED_VALUE"""),"LA LIBERTAD")</f>
        <v>LA LIBERTAD</v>
      </c>
      <c r="E222" s="25" t="str">
        <f ca="1">IFERROR(__xludf.DUMMYFUNCTION("""COMPUTED_VALUE"""),"ANCASH")</f>
        <v>ANCASH</v>
      </c>
      <c r="F222" s="25" t="str">
        <f ca="1">IFERROR(__xludf.DUMMYFUNCTION("""COMPUTED_VALUE"""),"RECUAY")</f>
        <v>RECUAY</v>
      </c>
      <c r="G222" s="25" t="str">
        <f ca="1">IFERROR(__xludf.DUMMYFUNCTION("""COMPUTED_VALUE"""),"MARCA")</f>
        <v>MARCA</v>
      </c>
      <c r="H222" s="25" t="str">
        <f ca="1">IFERROR(__xludf.DUMMYFUNCTION("""COMPUTED_VALUE"""),"RURAL")</f>
        <v>RURAL</v>
      </c>
      <c r="I222" s="25" t="str">
        <f ca="1">IFERROR(__xludf.DUMMYFUNCTION("""COMPUTED_VALUE"""),"Prioridad 4")</f>
        <v>Prioridad 4</v>
      </c>
      <c r="J222" s="43" t="s">
        <v>261</v>
      </c>
    </row>
    <row r="223" spans="1:10">
      <c r="A223" s="41">
        <f ca="1">IFERROR(__xludf.DUMMYFUNCTION("""COMPUTED_VALUE"""),44866)</f>
        <v>44866</v>
      </c>
      <c r="B223" s="25" t="str">
        <f ca="1">IFERROR(__xludf.DUMMYFUNCTION("""COMPUTED_VALUE"""),"MUNICIPALIDAD DISTRITAL")</f>
        <v>MUNICIPALIDAD DISTRITAL</v>
      </c>
      <c r="C223" s="25" t="str">
        <f ca="1">IFERROR(__xludf.DUMMYFUNCTION("""COMPUTED_VALUE"""),"MUNICIPALIDAD DISTRITAL DE PAMPAS CHICO")</f>
        <v>MUNICIPALIDAD DISTRITAL DE PAMPAS CHICO</v>
      </c>
      <c r="D223" s="25" t="str">
        <f ca="1">IFERROR(__xludf.DUMMYFUNCTION("""COMPUTED_VALUE"""),"LA LIBERTAD")</f>
        <v>LA LIBERTAD</v>
      </c>
      <c r="E223" s="25" t="str">
        <f ca="1">IFERROR(__xludf.DUMMYFUNCTION("""COMPUTED_VALUE"""),"ANCASH")</f>
        <v>ANCASH</v>
      </c>
      <c r="F223" s="25" t="str">
        <f ca="1">IFERROR(__xludf.DUMMYFUNCTION("""COMPUTED_VALUE"""),"RECUAY")</f>
        <v>RECUAY</v>
      </c>
      <c r="G223" s="25" t="str">
        <f ca="1">IFERROR(__xludf.DUMMYFUNCTION("""COMPUTED_VALUE"""),"PAMPAS CHICO")</f>
        <v>PAMPAS CHICO</v>
      </c>
      <c r="H223" s="25" t="str">
        <f ca="1">IFERROR(__xludf.DUMMYFUNCTION("""COMPUTED_VALUE"""),"RURAL")</f>
        <v>RURAL</v>
      </c>
      <c r="I223" s="25" t="str">
        <f ca="1">IFERROR(__xludf.DUMMYFUNCTION("""COMPUTED_VALUE"""),"Prioridad 3")</f>
        <v>Prioridad 3</v>
      </c>
      <c r="J223" s="43" t="s">
        <v>261</v>
      </c>
    </row>
    <row r="224" spans="1:10">
      <c r="A224" s="41">
        <f ca="1">IFERROR(__xludf.DUMMYFUNCTION("""COMPUTED_VALUE"""),44903)</f>
        <v>44903</v>
      </c>
      <c r="B224" s="25" t="str">
        <f ca="1">IFERROR(__xludf.DUMMYFUNCTION("""COMPUTED_VALUE"""),"MUNICIPALIDAD DISTRITAL")</f>
        <v>MUNICIPALIDAD DISTRITAL</v>
      </c>
      <c r="C224" s="25" t="str">
        <f ca="1">IFERROR(__xludf.DUMMYFUNCTION("""COMPUTED_VALUE"""),"MUNICIPALIDAD DISTRITAL DE PARARIN")</f>
        <v>MUNICIPALIDAD DISTRITAL DE PARARIN</v>
      </c>
      <c r="D224" s="25" t="str">
        <f ca="1">IFERROR(__xludf.DUMMYFUNCTION("""COMPUTED_VALUE"""),"LA LIBERTAD")</f>
        <v>LA LIBERTAD</v>
      </c>
      <c r="E224" s="25" t="str">
        <f ca="1">IFERROR(__xludf.DUMMYFUNCTION("""COMPUTED_VALUE"""),"ANCASH")</f>
        <v>ANCASH</v>
      </c>
      <c r="F224" s="25" t="str">
        <f ca="1">IFERROR(__xludf.DUMMYFUNCTION("""COMPUTED_VALUE"""),"RECUAY")</f>
        <v>RECUAY</v>
      </c>
      <c r="G224" s="25" t="str">
        <f ca="1">IFERROR(__xludf.DUMMYFUNCTION("""COMPUTED_VALUE"""),"PARARIN")</f>
        <v>PARARIN</v>
      </c>
      <c r="H224" s="25" t="str">
        <f ca="1">IFERROR(__xludf.DUMMYFUNCTION("""COMPUTED_VALUE"""),"RURAL")</f>
        <v>RURAL</v>
      </c>
      <c r="I224" s="25" t="str">
        <f ca="1">IFERROR(__xludf.DUMMYFUNCTION("""COMPUTED_VALUE"""),"Prioridad 5")</f>
        <v>Prioridad 5</v>
      </c>
      <c r="J224" s="43" t="s">
        <v>261</v>
      </c>
    </row>
    <row r="225" spans="1:10">
      <c r="A225" s="41">
        <f ca="1">IFERROR(__xludf.DUMMYFUNCTION("""COMPUTED_VALUE"""),44904)</f>
        <v>44904</v>
      </c>
      <c r="B225" s="25" t="str">
        <f ca="1">IFERROR(__xludf.DUMMYFUNCTION("""COMPUTED_VALUE"""),"MUNICIPALIDAD DISTRITAL")</f>
        <v>MUNICIPALIDAD DISTRITAL</v>
      </c>
      <c r="C225" s="25" t="str">
        <f ca="1">IFERROR(__xludf.DUMMYFUNCTION("""COMPUTED_VALUE"""),"MUNICIPALIDAD DISTRITAL DE TAPACOCHA")</f>
        <v>MUNICIPALIDAD DISTRITAL DE TAPACOCHA</v>
      </c>
      <c r="D225" s="25" t="str">
        <f ca="1">IFERROR(__xludf.DUMMYFUNCTION("""COMPUTED_VALUE"""),"LA LIBERTAD")</f>
        <v>LA LIBERTAD</v>
      </c>
      <c r="E225" s="25" t="str">
        <f ca="1">IFERROR(__xludf.DUMMYFUNCTION("""COMPUTED_VALUE"""),"ANCASH")</f>
        <v>ANCASH</v>
      </c>
      <c r="F225" s="25" t="str">
        <f ca="1">IFERROR(__xludf.DUMMYFUNCTION("""COMPUTED_VALUE"""),"RECUAY")</f>
        <v>RECUAY</v>
      </c>
      <c r="G225" s="25" t="str">
        <f ca="1">IFERROR(__xludf.DUMMYFUNCTION("""COMPUTED_VALUE"""),"TAPACOCHA")</f>
        <v>TAPACOCHA</v>
      </c>
      <c r="H225" s="25" t="str">
        <f ca="1">IFERROR(__xludf.DUMMYFUNCTION("""COMPUTED_VALUE"""),"RURAL")</f>
        <v>RURAL</v>
      </c>
      <c r="I225" s="25" t="str">
        <f ca="1">IFERROR(__xludf.DUMMYFUNCTION("""COMPUTED_VALUE"""),"Prioridad 4")</f>
        <v>Prioridad 4</v>
      </c>
      <c r="J225" s="43" t="s">
        <v>261</v>
      </c>
    </row>
    <row r="226" spans="1:10">
      <c r="A226" s="41">
        <f ca="1">IFERROR(__xludf.DUMMYFUNCTION("""COMPUTED_VALUE"""),44920)</f>
        <v>44920</v>
      </c>
      <c r="B226" s="25" t="str">
        <f ca="1">IFERROR(__xludf.DUMMYFUNCTION("""COMPUTED_VALUE"""),"MUNICIPALIDAD DISTRITAL")</f>
        <v>MUNICIPALIDAD DISTRITAL</v>
      </c>
      <c r="C226" s="25" t="str">
        <f ca="1">IFERROR(__xludf.DUMMYFUNCTION("""COMPUTED_VALUE"""),"MUNICIPALIDAD DISTRITAL DE TICAPAMPA")</f>
        <v>MUNICIPALIDAD DISTRITAL DE TICAPAMPA</v>
      </c>
      <c r="D226" s="25" t="str">
        <f ca="1">IFERROR(__xludf.DUMMYFUNCTION("""COMPUTED_VALUE"""),"LA LIBERTAD")</f>
        <v>LA LIBERTAD</v>
      </c>
      <c r="E226" s="25" t="str">
        <f ca="1">IFERROR(__xludf.DUMMYFUNCTION("""COMPUTED_VALUE"""),"ANCASH")</f>
        <v>ANCASH</v>
      </c>
      <c r="F226" s="25" t="str">
        <f ca="1">IFERROR(__xludf.DUMMYFUNCTION("""COMPUTED_VALUE"""),"RECUAY")</f>
        <v>RECUAY</v>
      </c>
      <c r="G226" s="25" t="str">
        <f ca="1">IFERROR(__xludf.DUMMYFUNCTION("""COMPUTED_VALUE"""),"TICAPAMPA")</f>
        <v>TICAPAMPA</v>
      </c>
      <c r="H226" s="25" t="str">
        <f ca="1">IFERROR(__xludf.DUMMYFUNCTION("""COMPUTED_VALUE"""),"RURAL")</f>
        <v>RURAL</v>
      </c>
      <c r="I226" s="25" t="str">
        <f ca="1">IFERROR(__xludf.DUMMYFUNCTION("""COMPUTED_VALUE"""),"Prioridad 3")</f>
        <v>Prioridad 3</v>
      </c>
      <c r="J226" s="43" t="s">
        <v>261</v>
      </c>
    </row>
    <row r="227" spans="1:10">
      <c r="A227" s="41">
        <f ca="1">IFERROR(__xludf.DUMMYFUNCTION("""COMPUTED_VALUE"""),44921)</f>
        <v>44921</v>
      </c>
      <c r="B227" s="25" t="str">
        <f ca="1">IFERROR(__xludf.DUMMYFUNCTION("""COMPUTED_VALUE"""),"MUNICIPALIDAD PROVINCIAL")</f>
        <v>MUNICIPALIDAD PROVINCIAL</v>
      </c>
      <c r="C227" s="25" t="str">
        <f ca="1">IFERROR(__xludf.DUMMYFUNCTION("""COMPUTED_VALUE"""),"MUNICIPALIDAD PROVINCIAL DEL SANTA")</f>
        <v>MUNICIPALIDAD PROVINCIAL DEL SANTA</v>
      </c>
      <c r="D227" s="25" t="str">
        <f ca="1">IFERROR(__xludf.DUMMYFUNCTION("""COMPUTED_VALUE"""),"LA LIBERTAD")</f>
        <v>LA LIBERTAD</v>
      </c>
      <c r="E227" s="25" t="str">
        <f ca="1">IFERROR(__xludf.DUMMYFUNCTION("""COMPUTED_VALUE"""),"ANCASH")</f>
        <v>ANCASH</v>
      </c>
      <c r="F227" s="25" t="str">
        <f ca="1">IFERROR(__xludf.DUMMYFUNCTION("""COMPUTED_VALUE"""),"SANTA")</f>
        <v>SANTA</v>
      </c>
      <c r="G227" s="25" t="str">
        <f ca="1">IFERROR(__xludf.DUMMYFUNCTION("""COMPUTED_VALUE"""),"CHIMBOTE")</f>
        <v>CHIMBOTE</v>
      </c>
      <c r="H227" s="25" t="str">
        <f ca="1">IFERROR(__xludf.DUMMYFUNCTION("""COMPUTED_VALUE"""),"URBANO")</f>
        <v>URBANO</v>
      </c>
      <c r="I227" s="25" t="str">
        <f ca="1">IFERROR(__xludf.DUMMYFUNCTION("""COMPUTED_VALUE"""),"Prioridad 1")</f>
        <v>Prioridad 1</v>
      </c>
      <c r="J227" s="43" t="s">
        <v>261</v>
      </c>
    </row>
    <row r="228" spans="1:10">
      <c r="A228" s="41">
        <f ca="1">IFERROR(__xludf.DUMMYFUNCTION("""COMPUTED_VALUE"""),44925)</f>
        <v>44925</v>
      </c>
      <c r="B228" s="25" t="str">
        <f ca="1">IFERROR(__xludf.DUMMYFUNCTION("""COMPUTED_VALUE"""),"MUNICIPALIDAD DISTRITAL")</f>
        <v>MUNICIPALIDAD DISTRITAL</v>
      </c>
      <c r="C228" s="25" t="str">
        <f ca="1">IFERROR(__xludf.DUMMYFUNCTION("""COMPUTED_VALUE"""),"MUNICIPALIDAD DISTRITAL DE CACERES DEL PERU")</f>
        <v>MUNICIPALIDAD DISTRITAL DE CACERES DEL PERU</v>
      </c>
      <c r="D228" s="25" t="str">
        <f ca="1">IFERROR(__xludf.DUMMYFUNCTION("""COMPUTED_VALUE"""),"LA LIBERTAD")</f>
        <v>LA LIBERTAD</v>
      </c>
      <c r="E228" s="25" t="str">
        <f ca="1">IFERROR(__xludf.DUMMYFUNCTION("""COMPUTED_VALUE"""),"ANCASH")</f>
        <v>ANCASH</v>
      </c>
      <c r="F228" s="25" t="str">
        <f ca="1">IFERROR(__xludf.DUMMYFUNCTION("""COMPUTED_VALUE"""),"SANTA")</f>
        <v>SANTA</v>
      </c>
      <c r="G228" s="25" t="str">
        <f ca="1">IFERROR(__xludf.DUMMYFUNCTION("""COMPUTED_VALUE"""),"CACERES DEL PERU")</f>
        <v>CACERES DEL PERU</v>
      </c>
      <c r="H228" s="25" t="str">
        <f ca="1">IFERROR(__xludf.DUMMYFUNCTION("""COMPUTED_VALUE"""),"RURAL")</f>
        <v>RURAL</v>
      </c>
      <c r="I228" s="25" t="str">
        <f ca="1">IFERROR(__xludf.DUMMYFUNCTION("""COMPUTED_VALUE"""),"Prioridad 2")</f>
        <v>Prioridad 2</v>
      </c>
      <c r="J228" s="43" t="s">
        <v>261</v>
      </c>
    </row>
    <row r="229" spans="1:10">
      <c r="A229" s="41">
        <f ca="1">IFERROR(__xludf.DUMMYFUNCTION("""COMPUTED_VALUE"""),44927)</f>
        <v>44927</v>
      </c>
      <c r="B229" s="25" t="str">
        <f ca="1">IFERROR(__xludf.DUMMYFUNCTION("""COMPUTED_VALUE"""),"MUNICIPALIDAD DISTRITAL")</f>
        <v>MUNICIPALIDAD DISTRITAL</v>
      </c>
      <c r="C229" s="25" t="str">
        <f ca="1">IFERROR(__xludf.DUMMYFUNCTION("""COMPUTED_VALUE"""),"MUNICIPALIDAD DISTRITAL DE COISHCO")</f>
        <v>MUNICIPALIDAD DISTRITAL DE COISHCO</v>
      </c>
      <c r="D229" s="25" t="str">
        <f ca="1">IFERROR(__xludf.DUMMYFUNCTION("""COMPUTED_VALUE"""),"LA LIBERTAD")</f>
        <v>LA LIBERTAD</v>
      </c>
      <c r="E229" s="25" t="str">
        <f ca="1">IFERROR(__xludf.DUMMYFUNCTION("""COMPUTED_VALUE"""),"ANCASH")</f>
        <v>ANCASH</v>
      </c>
      <c r="F229" s="25" t="str">
        <f ca="1">IFERROR(__xludf.DUMMYFUNCTION("""COMPUTED_VALUE"""),"SANTA")</f>
        <v>SANTA</v>
      </c>
      <c r="G229" s="25" t="str">
        <f ca="1">IFERROR(__xludf.DUMMYFUNCTION("""COMPUTED_VALUE"""),"COISHCO")</f>
        <v>COISHCO</v>
      </c>
      <c r="H229" s="25" t="str">
        <f ca="1">IFERROR(__xludf.DUMMYFUNCTION("""COMPUTED_VALUE"""),"URBANO")</f>
        <v>URBANO</v>
      </c>
      <c r="I229" s="25" t="str">
        <f ca="1">IFERROR(__xludf.DUMMYFUNCTION("""COMPUTED_VALUE"""),"Prioridad 1")</f>
        <v>Prioridad 1</v>
      </c>
      <c r="J229" s="43" t="s">
        <v>261</v>
      </c>
    </row>
    <row r="230" spans="1:10">
      <c r="A230" s="41">
        <f ca="1">IFERROR(__xludf.DUMMYFUNCTION("""COMPUTED_VALUE"""),44928)</f>
        <v>44928</v>
      </c>
      <c r="B230" s="25" t="str">
        <f ca="1">IFERROR(__xludf.DUMMYFUNCTION("""COMPUTED_VALUE"""),"MUNICIPALIDAD DISTRITAL")</f>
        <v>MUNICIPALIDAD DISTRITAL</v>
      </c>
      <c r="C230" s="25" t="str">
        <f ca="1">IFERROR(__xludf.DUMMYFUNCTION("""COMPUTED_VALUE"""),"MUNICIPALIDAD DISTRITAL DE MACATE")</f>
        <v>MUNICIPALIDAD DISTRITAL DE MACATE</v>
      </c>
      <c r="D230" s="25" t="str">
        <f ca="1">IFERROR(__xludf.DUMMYFUNCTION("""COMPUTED_VALUE"""),"LA LIBERTAD")</f>
        <v>LA LIBERTAD</v>
      </c>
      <c r="E230" s="25" t="str">
        <f ca="1">IFERROR(__xludf.DUMMYFUNCTION("""COMPUTED_VALUE"""),"ANCASH")</f>
        <v>ANCASH</v>
      </c>
      <c r="F230" s="25" t="str">
        <f ca="1">IFERROR(__xludf.DUMMYFUNCTION("""COMPUTED_VALUE"""),"SANTA")</f>
        <v>SANTA</v>
      </c>
      <c r="G230" s="25" t="str">
        <f ca="1">IFERROR(__xludf.DUMMYFUNCTION("""COMPUTED_VALUE"""),"MACATE")</f>
        <v>MACATE</v>
      </c>
      <c r="H230" s="25" t="str">
        <f ca="1">IFERROR(__xludf.DUMMYFUNCTION("""COMPUTED_VALUE"""),"RURAL")</f>
        <v>RURAL</v>
      </c>
      <c r="I230" s="25" t="str">
        <f ca="1">IFERROR(__xludf.DUMMYFUNCTION("""COMPUTED_VALUE"""),"Prioridad 5")</f>
        <v>Prioridad 5</v>
      </c>
      <c r="J230" s="43" t="s">
        <v>261</v>
      </c>
    </row>
    <row r="231" spans="1:10">
      <c r="A231" s="41">
        <f ca="1">IFERROR(__xludf.DUMMYFUNCTION("""COMPUTED_VALUE"""),45022)</f>
        <v>45022</v>
      </c>
      <c r="B231" s="25" t="str">
        <f ca="1">IFERROR(__xludf.DUMMYFUNCTION("""COMPUTED_VALUE"""),"MUNICIPALIDAD DISTRITAL")</f>
        <v>MUNICIPALIDAD DISTRITAL</v>
      </c>
      <c r="C231" s="25" t="str">
        <f ca="1">IFERROR(__xludf.DUMMYFUNCTION("""COMPUTED_VALUE"""),"MUNICIPALIDAD DISTRITAL DE MORO")</f>
        <v>MUNICIPALIDAD DISTRITAL DE MORO</v>
      </c>
      <c r="D231" s="25" t="str">
        <f ca="1">IFERROR(__xludf.DUMMYFUNCTION("""COMPUTED_VALUE"""),"LA LIBERTAD")</f>
        <v>LA LIBERTAD</v>
      </c>
      <c r="E231" s="25" t="str">
        <f ca="1">IFERROR(__xludf.DUMMYFUNCTION("""COMPUTED_VALUE"""),"ANCASH")</f>
        <v>ANCASH</v>
      </c>
      <c r="F231" s="25" t="str">
        <f ca="1">IFERROR(__xludf.DUMMYFUNCTION("""COMPUTED_VALUE"""),"SANTA")</f>
        <v>SANTA</v>
      </c>
      <c r="G231" s="25" t="str">
        <f ca="1">IFERROR(__xludf.DUMMYFUNCTION("""COMPUTED_VALUE"""),"MORO")</f>
        <v>MORO</v>
      </c>
      <c r="H231" s="25" t="str">
        <f ca="1">IFERROR(__xludf.DUMMYFUNCTION("""COMPUTED_VALUE"""),"URBANO")</f>
        <v>URBANO</v>
      </c>
      <c r="I231" s="25" t="str">
        <f ca="1">IFERROR(__xludf.DUMMYFUNCTION("""COMPUTED_VALUE"""),"Prioridad 3")</f>
        <v>Prioridad 3</v>
      </c>
      <c r="J231" s="43" t="s">
        <v>261</v>
      </c>
    </row>
    <row r="232" spans="1:10">
      <c r="A232" s="41">
        <f ca="1">IFERROR(__xludf.DUMMYFUNCTION("""COMPUTED_VALUE"""),45023)</f>
        <v>45023</v>
      </c>
      <c r="B232" s="25" t="str">
        <f ca="1">IFERROR(__xludf.DUMMYFUNCTION("""COMPUTED_VALUE"""),"MUNICIPALIDAD DISTRITAL")</f>
        <v>MUNICIPALIDAD DISTRITAL</v>
      </c>
      <c r="C232" s="25" t="str">
        <f ca="1">IFERROR(__xludf.DUMMYFUNCTION("""COMPUTED_VALUE"""),"MUNICIPALIDAD DISTRITAL DE NEPEÑA")</f>
        <v>MUNICIPALIDAD DISTRITAL DE NEPEÑA</v>
      </c>
      <c r="D232" s="25" t="str">
        <f ca="1">IFERROR(__xludf.DUMMYFUNCTION("""COMPUTED_VALUE"""),"LA LIBERTAD")</f>
        <v>LA LIBERTAD</v>
      </c>
      <c r="E232" s="25" t="str">
        <f ca="1">IFERROR(__xludf.DUMMYFUNCTION("""COMPUTED_VALUE"""),"ANCASH")</f>
        <v>ANCASH</v>
      </c>
      <c r="F232" s="25" t="str">
        <f ca="1">IFERROR(__xludf.DUMMYFUNCTION("""COMPUTED_VALUE"""),"SANTA")</f>
        <v>SANTA</v>
      </c>
      <c r="G232" s="25" t="str">
        <f ca="1">IFERROR(__xludf.DUMMYFUNCTION("""COMPUTED_VALUE"""),"NEPEÑA")</f>
        <v>NEPEÑA</v>
      </c>
      <c r="H232" s="25" t="str">
        <f ca="1">IFERROR(__xludf.DUMMYFUNCTION("""COMPUTED_VALUE"""),"URBANO")</f>
        <v>URBANO</v>
      </c>
      <c r="I232" s="25" t="str">
        <f ca="1">IFERROR(__xludf.DUMMYFUNCTION("""COMPUTED_VALUE"""),"Prioridad 4")</f>
        <v>Prioridad 4</v>
      </c>
      <c r="J232" s="43" t="s">
        <v>261</v>
      </c>
    </row>
    <row r="233" spans="1:10">
      <c r="A233" s="41">
        <f ca="1">IFERROR(__xludf.DUMMYFUNCTION("""COMPUTED_VALUE"""),45025)</f>
        <v>45025</v>
      </c>
      <c r="B233" s="25" t="str">
        <f ca="1">IFERROR(__xludf.DUMMYFUNCTION("""COMPUTED_VALUE"""),"MUNICIPALIDAD DISTRITAL")</f>
        <v>MUNICIPALIDAD DISTRITAL</v>
      </c>
      <c r="C233" s="25" t="str">
        <f ca="1">IFERROR(__xludf.DUMMYFUNCTION("""COMPUTED_VALUE"""),"MUNICIPALIDAD DISTRITAL DE NUEVO CHIMBOTE")</f>
        <v>MUNICIPALIDAD DISTRITAL DE NUEVO CHIMBOTE</v>
      </c>
      <c r="D233" s="25" t="str">
        <f ca="1">IFERROR(__xludf.DUMMYFUNCTION("""COMPUTED_VALUE"""),"LA LIBERTAD")</f>
        <v>LA LIBERTAD</v>
      </c>
      <c r="E233" s="25" t="str">
        <f ca="1">IFERROR(__xludf.DUMMYFUNCTION("""COMPUTED_VALUE"""),"ANCASH")</f>
        <v>ANCASH</v>
      </c>
      <c r="F233" s="25" t="str">
        <f ca="1">IFERROR(__xludf.DUMMYFUNCTION("""COMPUTED_VALUE"""),"SANTA")</f>
        <v>SANTA</v>
      </c>
      <c r="G233" s="25" t="str">
        <f ca="1">IFERROR(__xludf.DUMMYFUNCTION("""COMPUTED_VALUE"""),"NUEVO CHIMBOTE")</f>
        <v>NUEVO CHIMBOTE</v>
      </c>
      <c r="H233" s="25" t="str">
        <f ca="1">IFERROR(__xludf.DUMMYFUNCTION("""COMPUTED_VALUE"""),"URBANO")</f>
        <v>URBANO</v>
      </c>
      <c r="I233" s="25" t="str">
        <f ca="1">IFERROR(__xludf.DUMMYFUNCTION("""COMPUTED_VALUE"""),"Prioridad 1")</f>
        <v>Prioridad 1</v>
      </c>
      <c r="J233" s="43" t="s">
        <v>261</v>
      </c>
    </row>
    <row r="234" spans="1:10">
      <c r="A234" s="41">
        <f ca="1">IFERROR(__xludf.DUMMYFUNCTION("""COMPUTED_VALUE"""),45044)</f>
        <v>45044</v>
      </c>
      <c r="B234" s="25" t="str">
        <f ca="1">IFERROR(__xludf.DUMMYFUNCTION("""COMPUTED_VALUE"""),"MUNICIPALIDAD DISTRITAL")</f>
        <v>MUNICIPALIDAD DISTRITAL</v>
      </c>
      <c r="C234" s="25" t="str">
        <f ca="1">IFERROR(__xludf.DUMMYFUNCTION("""COMPUTED_VALUE"""),"MUNICIPALIDAD DISTRITAL DE SAMANCO")</f>
        <v>MUNICIPALIDAD DISTRITAL DE SAMANCO</v>
      </c>
      <c r="D234" s="25" t="str">
        <f ca="1">IFERROR(__xludf.DUMMYFUNCTION("""COMPUTED_VALUE"""),"LA LIBERTAD")</f>
        <v>LA LIBERTAD</v>
      </c>
      <c r="E234" s="25" t="str">
        <f ca="1">IFERROR(__xludf.DUMMYFUNCTION("""COMPUTED_VALUE"""),"ANCASH")</f>
        <v>ANCASH</v>
      </c>
      <c r="F234" s="25" t="str">
        <f ca="1">IFERROR(__xludf.DUMMYFUNCTION("""COMPUTED_VALUE"""),"SANTA")</f>
        <v>SANTA</v>
      </c>
      <c r="G234" s="25" t="str">
        <f ca="1">IFERROR(__xludf.DUMMYFUNCTION("""COMPUTED_VALUE"""),"SAMANCO")</f>
        <v>SAMANCO</v>
      </c>
      <c r="H234" s="25" t="str">
        <f ca="1">IFERROR(__xludf.DUMMYFUNCTION("""COMPUTED_VALUE"""),"URBANO")</f>
        <v>URBANO</v>
      </c>
      <c r="I234" s="25" t="str">
        <f ca="1">IFERROR(__xludf.DUMMYFUNCTION("""COMPUTED_VALUE"""),"Prioridad 2")</f>
        <v>Prioridad 2</v>
      </c>
      <c r="J234" s="43" t="s">
        <v>261</v>
      </c>
    </row>
    <row r="235" spans="1:10">
      <c r="A235" s="41">
        <f ca="1">IFERROR(__xludf.DUMMYFUNCTION("""COMPUTED_VALUE"""),45047)</f>
        <v>45047</v>
      </c>
      <c r="B235" s="25" t="str">
        <f ca="1">IFERROR(__xludf.DUMMYFUNCTION("""COMPUTED_VALUE"""),"MUNICIPALIDAD DISTRITAL")</f>
        <v>MUNICIPALIDAD DISTRITAL</v>
      </c>
      <c r="C235" s="25" t="str">
        <f ca="1">IFERROR(__xludf.DUMMYFUNCTION("""COMPUTED_VALUE"""),"MUNICIPALIDAD DISTRITAL DE SANTA")</f>
        <v>MUNICIPALIDAD DISTRITAL DE SANTA</v>
      </c>
      <c r="D235" s="25" t="str">
        <f ca="1">IFERROR(__xludf.DUMMYFUNCTION("""COMPUTED_VALUE"""),"LA LIBERTAD")</f>
        <v>LA LIBERTAD</v>
      </c>
      <c r="E235" s="25" t="str">
        <f ca="1">IFERROR(__xludf.DUMMYFUNCTION("""COMPUTED_VALUE"""),"ANCASH")</f>
        <v>ANCASH</v>
      </c>
      <c r="F235" s="25" t="str">
        <f ca="1">IFERROR(__xludf.DUMMYFUNCTION("""COMPUTED_VALUE"""),"SANTA")</f>
        <v>SANTA</v>
      </c>
      <c r="G235" s="25" t="str">
        <f ca="1">IFERROR(__xludf.DUMMYFUNCTION("""COMPUTED_VALUE"""),"SANTA")</f>
        <v>SANTA</v>
      </c>
      <c r="H235" s="25" t="str">
        <f ca="1">IFERROR(__xludf.DUMMYFUNCTION("""COMPUTED_VALUE"""),"URBANO")</f>
        <v>URBANO</v>
      </c>
      <c r="I235" s="25" t="str">
        <f ca="1">IFERROR(__xludf.DUMMYFUNCTION("""COMPUTED_VALUE"""),"Prioridad 2")</f>
        <v>Prioridad 2</v>
      </c>
      <c r="J235" s="43" t="s">
        <v>261</v>
      </c>
    </row>
    <row r="236" spans="1:10">
      <c r="A236" s="41">
        <f ca="1">IFERROR(__xludf.DUMMYFUNCTION("""COMPUTED_VALUE"""),45106)</f>
        <v>45106</v>
      </c>
      <c r="B236" s="25" t="str">
        <f ca="1">IFERROR(__xludf.DUMMYFUNCTION("""COMPUTED_VALUE"""),"MUNICIPALIDAD PROVINCIAL")</f>
        <v>MUNICIPALIDAD PROVINCIAL</v>
      </c>
      <c r="C236" s="25" t="str">
        <f ca="1">IFERROR(__xludf.DUMMYFUNCTION("""COMPUTED_VALUE"""),"MUNICIPALIDAD PROVINCIAL DE SIHUAS")</f>
        <v>MUNICIPALIDAD PROVINCIAL DE SIHUAS</v>
      </c>
      <c r="D236" s="25" t="str">
        <f ca="1">IFERROR(__xludf.DUMMYFUNCTION("""COMPUTED_VALUE"""),"LA LIBERTAD")</f>
        <v>LA LIBERTAD</v>
      </c>
      <c r="E236" s="25" t="str">
        <f ca="1">IFERROR(__xludf.DUMMYFUNCTION("""COMPUTED_VALUE"""),"ANCASH")</f>
        <v>ANCASH</v>
      </c>
      <c r="F236" s="25" t="str">
        <f ca="1">IFERROR(__xludf.DUMMYFUNCTION("""COMPUTED_VALUE"""),"SIHUAS")</f>
        <v>SIHUAS</v>
      </c>
      <c r="G236" s="25" t="str">
        <f ca="1">IFERROR(__xludf.DUMMYFUNCTION("""COMPUTED_VALUE"""),"SIHUAS")</f>
        <v>SIHUAS</v>
      </c>
      <c r="H236" s="25" t="str">
        <f ca="1">IFERROR(__xludf.DUMMYFUNCTION("""COMPUTED_VALUE"""),"URBANO")</f>
        <v>URBANO</v>
      </c>
      <c r="I236" s="25" t="str">
        <f ca="1">IFERROR(__xludf.DUMMYFUNCTION("""COMPUTED_VALUE"""),"Prioridad 1")</f>
        <v>Prioridad 1</v>
      </c>
      <c r="J236" s="43" t="s">
        <v>261</v>
      </c>
    </row>
    <row r="237" spans="1:10">
      <c r="A237" s="41">
        <f ca="1">IFERROR(__xludf.DUMMYFUNCTION("""COMPUTED_VALUE"""),45107)</f>
        <v>45107</v>
      </c>
      <c r="B237" s="25" t="str">
        <f ca="1">IFERROR(__xludf.DUMMYFUNCTION("""COMPUTED_VALUE"""),"MUNICIPALIDAD DISTRITAL")</f>
        <v>MUNICIPALIDAD DISTRITAL</v>
      </c>
      <c r="C237" s="25" t="str">
        <f ca="1">IFERROR(__xludf.DUMMYFUNCTION("""COMPUTED_VALUE"""),"MUNICIPALIDAD DISTRITAL DE ACOBAMBA EN SIHUAS")</f>
        <v>MUNICIPALIDAD DISTRITAL DE ACOBAMBA EN SIHUAS</v>
      </c>
      <c r="D237" s="25" t="str">
        <f ca="1">IFERROR(__xludf.DUMMYFUNCTION("""COMPUTED_VALUE"""),"LA LIBERTAD")</f>
        <v>LA LIBERTAD</v>
      </c>
      <c r="E237" s="25" t="str">
        <f ca="1">IFERROR(__xludf.DUMMYFUNCTION("""COMPUTED_VALUE"""),"ANCASH")</f>
        <v>ANCASH</v>
      </c>
      <c r="F237" s="25" t="str">
        <f ca="1">IFERROR(__xludf.DUMMYFUNCTION("""COMPUTED_VALUE"""),"SIHUAS")</f>
        <v>SIHUAS</v>
      </c>
      <c r="G237" s="25" t="str">
        <f ca="1">IFERROR(__xludf.DUMMYFUNCTION("""COMPUTED_VALUE"""),"ACOBAMBA")</f>
        <v>ACOBAMBA</v>
      </c>
      <c r="H237" s="25" t="str">
        <f ca="1">IFERROR(__xludf.DUMMYFUNCTION("""COMPUTED_VALUE"""),"RURAL")</f>
        <v>RURAL</v>
      </c>
      <c r="I237" s="25" t="str">
        <f ca="1">IFERROR(__xludf.DUMMYFUNCTION("""COMPUTED_VALUE"""),"Prioridad 5")</f>
        <v>Prioridad 5</v>
      </c>
      <c r="J237" s="43" t="s">
        <v>261</v>
      </c>
    </row>
    <row r="238" spans="1:10">
      <c r="A238" s="41">
        <f ca="1">IFERROR(__xludf.DUMMYFUNCTION("""COMPUTED_VALUE"""),45134)</f>
        <v>45134</v>
      </c>
      <c r="B238" s="25" t="str">
        <f ca="1">IFERROR(__xludf.DUMMYFUNCTION("""COMPUTED_VALUE"""),"MUNICIPALIDAD DISTRITAL")</f>
        <v>MUNICIPALIDAD DISTRITAL</v>
      </c>
      <c r="C238" s="25" t="str">
        <f ca="1">IFERROR(__xludf.DUMMYFUNCTION("""COMPUTED_VALUE"""),"MUNICIPALIDAD DISTRITAL DE ALFONSO UGARTE")</f>
        <v>MUNICIPALIDAD DISTRITAL DE ALFONSO UGARTE</v>
      </c>
      <c r="D238" s="25" t="str">
        <f ca="1">IFERROR(__xludf.DUMMYFUNCTION("""COMPUTED_VALUE"""),"LA LIBERTAD")</f>
        <v>LA LIBERTAD</v>
      </c>
      <c r="E238" s="25" t="str">
        <f ca="1">IFERROR(__xludf.DUMMYFUNCTION("""COMPUTED_VALUE"""),"ANCASH")</f>
        <v>ANCASH</v>
      </c>
      <c r="F238" s="25" t="str">
        <f ca="1">IFERROR(__xludf.DUMMYFUNCTION("""COMPUTED_VALUE"""),"SIHUAS")</f>
        <v>SIHUAS</v>
      </c>
      <c r="G238" s="25" t="str">
        <f ca="1">IFERROR(__xludf.DUMMYFUNCTION("""COMPUTED_VALUE"""),"ALFONSO UGARTE")</f>
        <v>ALFONSO UGARTE</v>
      </c>
      <c r="H238" s="25" t="str">
        <f ca="1">IFERROR(__xludf.DUMMYFUNCTION("""COMPUTED_VALUE"""),"RURAL")</f>
        <v>RURAL</v>
      </c>
      <c r="I238" s="25" t="str">
        <f ca="1">IFERROR(__xludf.DUMMYFUNCTION("""COMPUTED_VALUE"""),"Prioridad 5")</f>
        <v>Prioridad 5</v>
      </c>
      <c r="J238" s="43" t="s">
        <v>261</v>
      </c>
    </row>
    <row r="239" spans="1:10">
      <c r="A239" s="41">
        <f ca="1">IFERROR(__xludf.DUMMYFUNCTION("""COMPUTED_VALUE"""),45135)</f>
        <v>45135</v>
      </c>
      <c r="B239" s="25" t="str">
        <f ca="1">IFERROR(__xludf.DUMMYFUNCTION("""COMPUTED_VALUE"""),"MUNICIPALIDAD DISTRITAL")</f>
        <v>MUNICIPALIDAD DISTRITAL</v>
      </c>
      <c r="C239" s="25" t="str">
        <f ca="1">IFERROR(__xludf.DUMMYFUNCTION("""COMPUTED_VALUE"""),"MUNICIPALIDAD DISTRITAL DE CASHAPAMPA")</f>
        <v>MUNICIPALIDAD DISTRITAL DE CASHAPAMPA</v>
      </c>
      <c r="D239" s="25" t="str">
        <f ca="1">IFERROR(__xludf.DUMMYFUNCTION("""COMPUTED_VALUE"""),"LA LIBERTAD")</f>
        <v>LA LIBERTAD</v>
      </c>
      <c r="E239" s="25" t="str">
        <f ca="1">IFERROR(__xludf.DUMMYFUNCTION("""COMPUTED_VALUE"""),"ANCASH")</f>
        <v>ANCASH</v>
      </c>
      <c r="F239" s="25" t="str">
        <f ca="1">IFERROR(__xludf.DUMMYFUNCTION("""COMPUTED_VALUE"""),"SIHUAS")</f>
        <v>SIHUAS</v>
      </c>
      <c r="G239" s="25" t="str">
        <f ca="1">IFERROR(__xludf.DUMMYFUNCTION("""COMPUTED_VALUE"""),"CASHAPAMPA")</f>
        <v>CASHAPAMPA</v>
      </c>
      <c r="H239" s="25" t="str">
        <f ca="1">IFERROR(__xludf.DUMMYFUNCTION("""COMPUTED_VALUE"""),"RURAL")</f>
        <v>RURAL</v>
      </c>
      <c r="I239" s="25" t="str">
        <f ca="1">IFERROR(__xludf.DUMMYFUNCTION("""COMPUTED_VALUE"""),"Prioridad 3")</f>
        <v>Prioridad 3</v>
      </c>
      <c r="J239" s="43" t="s">
        <v>261</v>
      </c>
    </row>
    <row r="240" spans="1:10">
      <c r="A240" s="41">
        <f ca="1">IFERROR(__xludf.DUMMYFUNCTION("""COMPUTED_VALUE"""),45136)</f>
        <v>45136</v>
      </c>
      <c r="B240" s="25" t="str">
        <f ca="1">IFERROR(__xludf.DUMMYFUNCTION("""COMPUTED_VALUE"""),"MUNICIPALIDAD DISTRITAL")</f>
        <v>MUNICIPALIDAD DISTRITAL</v>
      </c>
      <c r="C240" s="25" t="str">
        <f ca="1">IFERROR(__xludf.DUMMYFUNCTION("""COMPUTED_VALUE"""),"MUNICIPALIDAD DISTRITAL DE CHINGALPO")</f>
        <v>MUNICIPALIDAD DISTRITAL DE CHINGALPO</v>
      </c>
      <c r="D240" s="25" t="str">
        <f ca="1">IFERROR(__xludf.DUMMYFUNCTION("""COMPUTED_VALUE"""),"LA LIBERTAD")</f>
        <v>LA LIBERTAD</v>
      </c>
      <c r="E240" s="25" t="str">
        <f ca="1">IFERROR(__xludf.DUMMYFUNCTION("""COMPUTED_VALUE"""),"ANCASH")</f>
        <v>ANCASH</v>
      </c>
      <c r="F240" s="25" t="str">
        <f ca="1">IFERROR(__xludf.DUMMYFUNCTION("""COMPUTED_VALUE"""),"SIHUAS")</f>
        <v>SIHUAS</v>
      </c>
      <c r="G240" s="25" t="str">
        <f ca="1">IFERROR(__xludf.DUMMYFUNCTION("""COMPUTED_VALUE"""),"CHINGALPO")</f>
        <v>CHINGALPO</v>
      </c>
      <c r="H240" s="25" t="str">
        <f ca="1">IFERROR(__xludf.DUMMYFUNCTION("""COMPUTED_VALUE"""),"RURAL")</f>
        <v>RURAL</v>
      </c>
      <c r="I240" s="25" t="str">
        <f ca="1">IFERROR(__xludf.DUMMYFUNCTION("""COMPUTED_VALUE"""),"Prioridad 5")</f>
        <v>Prioridad 5</v>
      </c>
      <c r="J240" s="43" t="s">
        <v>261</v>
      </c>
    </row>
    <row r="241" spans="1:10">
      <c r="A241" s="41">
        <f ca="1">IFERROR(__xludf.DUMMYFUNCTION("""COMPUTED_VALUE"""),45144)</f>
        <v>45144</v>
      </c>
      <c r="B241" s="25" t="str">
        <f ca="1">IFERROR(__xludf.DUMMYFUNCTION("""COMPUTED_VALUE"""),"MUNICIPALIDAD DISTRITAL")</f>
        <v>MUNICIPALIDAD DISTRITAL</v>
      </c>
      <c r="C241" s="25" t="str">
        <f ca="1">IFERROR(__xludf.DUMMYFUNCTION("""COMPUTED_VALUE"""),"MUNICIPALIDAD DISTRITAL DE HUAYLLABAMBA EN SIHUAS")</f>
        <v>MUNICIPALIDAD DISTRITAL DE HUAYLLABAMBA EN SIHUAS</v>
      </c>
      <c r="D241" s="25" t="str">
        <f ca="1">IFERROR(__xludf.DUMMYFUNCTION("""COMPUTED_VALUE"""),"LA LIBERTAD")</f>
        <v>LA LIBERTAD</v>
      </c>
      <c r="E241" s="25" t="str">
        <f ca="1">IFERROR(__xludf.DUMMYFUNCTION("""COMPUTED_VALUE"""),"ANCASH")</f>
        <v>ANCASH</v>
      </c>
      <c r="F241" s="25" t="str">
        <f ca="1">IFERROR(__xludf.DUMMYFUNCTION("""COMPUTED_VALUE"""),"SIHUAS")</f>
        <v>SIHUAS</v>
      </c>
      <c r="G241" s="25" t="str">
        <f ca="1">IFERROR(__xludf.DUMMYFUNCTION("""COMPUTED_VALUE"""),"HUAYLLABAMBA")</f>
        <v>HUAYLLABAMBA</v>
      </c>
      <c r="H241" s="25" t="str">
        <f ca="1">IFERROR(__xludf.DUMMYFUNCTION("""COMPUTED_VALUE"""),"RURAL")</f>
        <v>RURAL</v>
      </c>
      <c r="I241" s="25" t="str">
        <f ca="1">IFERROR(__xludf.DUMMYFUNCTION("""COMPUTED_VALUE"""),"Prioridad 5")</f>
        <v>Prioridad 5</v>
      </c>
      <c r="J241" s="43" t="s">
        <v>261</v>
      </c>
    </row>
    <row r="242" spans="1:10">
      <c r="A242" s="41">
        <f ca="1">IFERROR(__xludf.DUMMYFUNCTION("""COMPUTED_VALUE"""),45168)</f>
        <v>45168</v>
      </c>
      <c r="B242" s="25" t="str">
        <f ca="1">IFERROR(__xludf.DUMMYFUNCTION("""COMPUTED_VALUE"""),"MUNICIPALIDAD DISTRITAL")</f>
        <v>MUNICIPALIDAD DISTRITAL</v>
      </c>
      <c r="C242" s="25" t="str">
        <f ca="1">IFERROR(__xludf.DUMMYFUNCTION("""COMPUTED_VALUE"""),"MUNICIPALIDAD DISTRITAL DE QUICHES")</f>
        <v>MUNICIPALIDAD DISTRITAL DE QUICHES</v>
      </c>
      <c r="D242" s="25" t="str">
        <f ca="1">IFERROR(__xludf.DUMMYFUNCTION("""COMPUTED_VALUE"""),"LA LIBERTAD")</f>
        <v>LA LIBERTAD</v>
      </c>
      <c r="E242" s="25" t="str">
        <f ca="1">IFERROR(__xludf.DUMMYFUNCTION("""COMPUTED_VALUE"""),"ANCASH")</f>
        <v>ANCASH</v>
      </c>
      <c r="F242" s="25" t="str">
        <f ca="1">IFERROR(__xludf.DUMMYFUNCTION("""COMPUTED_VALUE"""),"SIHUAS")</f>
        <v>SIHUAS</v>
      </c>
      <c r="G242" s="25" t="str">
        <f ca="1">IFERROR(__xludf.DUMMYFUNCTION("""COMPUTED_VALUE"""),"QUICHES")</f>
        <v>QUICHES</v>
      </c>
      <c r="H242" s="25" t="str">
        <f ca="1">IFERROR(__xludf.DUMMYFUNCTION("""COMPUTED_VALUE"""),"RURAL")</f>
        <v>RURAL</v>
      </c>
      <c r="I242" s="25" t="str">
        <f ca="1">IFERROR(__xludf.DUMMYFUNCTION("""COMPUTED_VALUE"""),"Prioridad 5")</f>
        <v>Prioridad 5</v>
      </c>
      <c r="J242" s="43" t="s">
        <v>261</v>
      </c>
    </row>
    <row r="243" spans="1:10">
      <c r="A243" s="41">
        <f ca="1">IFERROR(__xludf.DUMMYFUNCTION("""COMPUTED_VALUE"""),45207)</f>
        <v>45207</v>
      </c>
      <c r="B243" s="25" t="str">
        <f ca="1">IFERROR(__xludf.DUMMYFUNCTION("""COMPUTED_VALUE"""),"MUNICIPALIDAD DISTRITAL")</f>
        <v>MUNICIPALIDAD DISTRITAL</v>
      </c>
      <c r="C243" s="25" t="str">
        <f ca="1">IFERROR(__xludf.DUMMYFUNCTION("""COMPUTED_VALUE"""),"MUNICIPALIDAD DISTRITAL DE RAGASH")</f>
        <v>MUNICIPALIDAD DISTRITAL DE RAGASH</v>
      </c>
      <c r="D243" s="25" t="str">
        <f ca="1">IFERROR(__xludf.DUMMYFUNCTION("""COMPUTED_VALUE"""),"LA LIBERTAD")</f>
        <v>LA LIBERTAD</v>
      </c>
      <c r="E243" s="25" t="str">
        <f ca="1">IFERROR(__xludf.DUMMYFUNCTION("""COMPUTED_VALUE"""),"ANCASH")</f>
        <v>ANCASH</v>
      </c>
      <c r="F243" s="25" t="str">
        <f ca="1">IFERROR(__xludf.DUMMYFUNCTION("""COMPUTED_VALUE"""),"SIHUAS")</f>
        <v>SIHUAS</v>
      </c>
      <c r="G243" s="25" t="str">
        <f ca="1">IFERROR(__xludf.DUMMYFUNCTION("""COMPUTED_VALUE"""),"RAGASH")</f>
        <v>RAGASH</v>
      </c>
      <c r="H243" s="25" t="str">
        <f ca="1">IFERROR(__xludf.DUMMYFUNCTION("""COMPUTED_VALUE"""),"RURAL")</f>
        <v>RURAL</v>
      </c>
      <c r="I243" s="25" t="str">
        <f ca="1">IFERROR(__xludf.DUMMYFUNCTION("""COMPUTED_VALUE"""),"Prioridad 5")</f>
        <v>Prioridad 5</v>
      </c>
      <c r="J243" s="43" t="s">
        <v>261</v>
      </c>
    </row>
    <row r="244" spans="1:10">
      <c r="A244" s="41">
        <f ca="1">IFERROR(__xludf.DUMMYFUNCTION("""COMPUTED_VALUE"""),45208)</f>
        <v>45208</v>
      </c>
      <c r="B244" s="25" t="str">
        <f ca="1">IFERROR(__xludf.DUMMYFUNCTION("""COMPUTED_VALUE"""),"MUNICIPALIDAD DISTRITAL")</f>
        <v>MUNICIPALIDAD DISTRITAL</v>
      </c>
      <c r="C244" s="25" t="str">
        <f ca="1">IFERROR(__xludf.DUMMYFUNCTION("""COMPUTED_VALUE"""),"MUNICIPALIDAD DISTRITAL DE SAN JUAN EN SIHUAS")</f>
        <v>MUNICIPALIDAD DISTRITAL DE SAN JUAN EN SIHUAS</v>
      </c>
      <c r="D244" s="25" t="str">
        <f ca="1">IFERROR(__xludf.DUMMYFUNCTION("""COMPUTED_VALUE"""),"LA LIBERTAD")</f>
        <v>LA LIBERTAD</v>
      </c>
      <c r="E244" s="25" t="str">
        <f ca="1">IFERROR(__xludf.DUMMYFUNCTION("""COMPUTED_VALUE"""),"ANCASH")</f>
        <v>ANCASH</v>
      </c>
      <c r="F244" s="25" t="str">
        <f ca="1">IFERROR(__xludf.DUMMYFUNCTION("""COMPUTED_VALUE"""),"SIHUAS")</f>
        <v>SIHUAS</v>
      </c>
      <c r="G244" s="25" t="str">
        <f ca="1">IFERROR(__xludf.DUMMYFUNCTION("""COMPUTED_VALUE"""),"SAN JUAN")</f>
        <v>SAN JUAN</v>
      </c>
      <c r="H244" s="25" t="str">
        <f ca="1">IFERROR(__xludf.DUMMYFUNCTION("""COMPUTED_VALUE"""),"RURAL")</f>
        <v>RURAL</v>
      </c>
      <c r="I244" s="25" t="str">
        <f ca="1">IFERROR(__xludf.DUMMYFUNCTION("""COMPUTED_VALUE"""),"Prioridad 5")</f>
        <v>Prioridad 5</v>
      </c>
      <c r="J244" s="43" t="s">
        <v>261</v>
      </c>
    </row>
    <row r="245" spans="1:10">
      <c r="A245" s="41">
        <f ca="1">IFERROR(__xludf.DUMMYFUNCTION("""COMPUTED_VALUE"""),45231)</f>
        <v>45231</v>
      </c>
      <c r="B245" s="25" t="str">
        <f ca="1">IFERROR(__xludf.DUMMYFUNCTION("""COMPUTED_VALUE"""),"MUNICIPALIDAD DISTRITAL")</f>
        <v>MUNICIPALIDAD DISTRITAL</v>
      </c>
      <c r="C245" s="25" t="str">
        <f ca="1">IFERROR(__xludf.DUMMYFUNCTION("""COMPUTED_VALUE"""),"MUNICIPALIDAD DISTRITAL DE SICSIBAMBA")</f>
        <v>MUNICIPALIDAD DISTRITAL DE SICSIBAMBA</v>
      </c>
      <c r="D245" s="25" t="str">
        <f ca="1">IFERROR(__xludf.DUMMYFUNCTION("""COMPUTED_VALUE"""),"LA LIBERTAD")</f>
        <v>LA LIBERTAD</v>
      </c>
      <c r="E245" s="25" t="str">
        <f ca="1">IFERROR(__xludf.DUMMYFUNCTION("""COMPUTED_VALUE"""),"ANCASH")</f>
        <v>ANCASH</v>
      </c>
      <c r="F245" s="25" t="str">
        <f ca="1">IFERROR(__xludf.DUMMYFUNCTION("""COMPUTED_VALUE"""),"SIHUAS")</f>
        <v>SIHUAS</v>
      </c>
      <c r="G245" s="25" t="str">
        <f ca="1">IFERROR(__xludf.DUMMYFUNCTION("""COMPUTED_VALUE"""),"SICSIBAMBA")</f>
        <v>SICSIBAMBA</v>
      </c>
      <c r="H245" s="25" t="str">
        <f ca="1">IFERROR(__xludf.DUMMYFUNCTION("""COMPUTED_VALUE"""),"RURAL")</f>
        <v>RURAL</v>
      </c>
      <c r="I245" s="25" t="str">
        <f ca="1">IFERROR(__xludf.DUMMYFUNCTION("""COMPUTED_VALUE"""),"Prioridad 5")</f>
        <v>Prioridad 5</v>
      </c>
      <c r="J245" s="43" t="s">
        <v>261</v>
      </c>
    </row>
    <row r="246" spans="1:10">
      <c r="A246" s="41">
        <f ca="1">IFERROR(__xludf.DUMMYFUNCTION("""COMPUTED_VALUE"""),45267)</f>
        <v>45267</v>
      </c>
      <c r="B246" s="25" t="str">
        <f ca="1">IFERROR(__xludf.DUMMYFUNCTION("""COMPUTED_VALUE"""),"MUNICIPALIDAD PROVINCIAL")</f>
        <v>MUNICIPALIDAD PROVINCIAL</v>
      </c>
      <c r="C246" s="25" t="str">
        <f ca="1">IFERROR(__xludf.DUMMYFUNCTION("""COMPUTED_VALUE"""),"MUNICIPALIDAD PROVINCIAL DE YUNGAY")</f>
        <v>MUNICIPALIDAD PROVINCIAL DE YUNGAY</v>
      </c>
      <c r="D246" s="25" t="str">
        <f ca="1">IFERROR(__xludf.DUMMYFUNCTION("""COMPUTED_VALUE"""),"LA LIBERTAD")</f>
        <v>LA LIBERTAD</v>
      </c>
      <c r="E246" s="25" t="str">
        <f ca="1">IFERROR(__xludf.DUMMYFUNCTION("""COMPUTED_VALUE"""),"ANCASH")</f>
        <v>ANCASH</v>
      </c>
      <c r="F246" s="25" t="str">
        <f ca="1">IFERROR(__xludf.DUMMYFUNCTION("""COMPUTED_VALUE"""),"YUNGAY")</f>
        <v>YUNGAY</v>
      </c>
      <c r="G246" s="25" t="str">
        <f ca="1">IFERROR(__xludf.DUMMYFUNCTION("""COMPUTED_VALUE"""),"YUNGAY")</f>
        <v>YUNGAY</v>
      </c>
      <c r="H246" s="25" t="str">
        <f ca="1">IFERROR(__xludf.DUMMYFUNCTION("""COMPUTED_VALUE"""),"RURAL")</f>
        <v>RURAL</v>
      </c>
      <c r="I246" s="25" t="str">
        <f ca="1">IFERROR(__xludf.DUMMYFUNCTION("""COMPUTED_VALUE"""),"Prioridad 2")</f>
        <v>Prioridad 2</v>
      </c>
      <c r="J246" s="43" t="s">
        <v>261</v>
      </c>
    </row>
    <row r="247" spans="1:10">
      <c r="A247" s="41">
        <f ca="1">IFERROR(__xludf.DUMMYFUNCTION("""COMPUTED_VALUE"""),45268)</f>
        <v>45268</v>
      </c>
      <c r="B247" s="25" t="str">
        <f ca="1">IFERROR(__xludf.DUMMYFUNCTION("""COMPUTED_VALUE"""),"MUNICIPALIDAD DISTRITAL")</f>
        <v>MUNICIPALIDAD DISTRITAL</v>
      </c>
      <c r="C247" s="25" t="str">
        <f ca="1">IFERROR(__xludf.DUMMYFUNCTION("""COMPUTED_VALUE"""),"MUNICIPALIDAD DISTRITAL DE CASCAPARA")</f>
        <v>MUNICIPALIDAD DISTRITAL DE CASCAPARA</v>
      </c>
      <c r="D247" s="25" t="str">
        <f ca="1">IFERROR(__xludf.DUMMYFUNCTION("""COMPUTED_VALUE"""),"LA LIBERTAD")</f>
        <v>LA LIBERTAD</v>
      </c>
      <c r="E247" s="25" t="str">
        <f ca="1">IFERROR(__xludf.DUMMYFUNCTION("""COMPUTED_VALUE"""),"ANCASH")</f>
        <v>ANCASH</v>
      </c>
      <c r="F247" s="25" t="str">
        <f ca="1">IFERROR(__xludf.DUMMYFUNCTION("""COMPUTED_VALUE"""),"YUNGAY")</f>
        <v>YUNGAY</v>
      </c>
      <c r="G247" s="25" t="str">
        <f ca="1">IFERROR(__xludf.DUMMYFUNCTION("""COMPUTED_VALUE"""),"CASCAPARA")</f>
        <v>CASCAPARA</v>
      </c>
      <c r="H247" s="25" t="str">
        <f ca="1">IFERROR(__xludf.DUMMYFUNCTION("""COMPUTED_VALUE"""),"RURAL")</f>
        <v>RURAL</v>
      </c>
      <c r="I247" s="25" t="str">
        <f ca="1">IFERROR(__xludf.DUMMYFUNCTION("""COMPUTED_VALUE"""),"Prioridad 5")</f>
        <v>Prioridad 5</v>
      </c>
      <c r="J247" s="43" t="s">
        <v>261</v>
      </c>
    </row>
    <row r="248" spans="1:10">
      <c r="A248" s="41">
        <f ca="1">IFERROR(__xludf.DUMMYFUNCTION("""COMPUTED_VALUE"""),45269)</f>
        <v>45269</v>
      </c>
      <c r="B248" s="25" t="str">
        <f ca="1">IFERROR(__xludf.DUMMYFUNCTION("""COMPUTED_VALUE"""),"MUNICIPALIDAD DISTRITAL")</f>
        <v>MUNICIPALIDAD DISTRITAL</v>
      </c>
      <c r="C248" s="25" t="str">
        <f ca="1">IFERROR(__xludf.DUMMYFUNCTION("""COMPUTED_VALUE"""),"MUNICIPALIDAD DISTRITAL DE MANCOS")</f>
        <v>MUNICIPALIDAD DISTRITAL DE MANCOS</v>
      </c>
      <c r="D248" s="25" t="str">
        <f ca="1">IFERROR(__xludf.DUMMYFUNCTION("""COMPUTED_VALUE"""),"LA LIBERTAD")</f>
        <v>LA LIBERTAD</v>
      </c>
      <c r="E248" s="25" t="str">
        <f ca="1">IFERROR(__xludf.DUMMYFUNCTION("""COMPUTED_VALUE"""),"ANCASH")</f>
        <v>ANCASH</v>
      </c>
      <c r="F248" s="25" t="str">
        <f ca="1">IFERROR(__xludf.DUMMYFUNCTION("""COMPUTED_VALUE"""),"YUNGAY")</f>
        <v>YUNGAY</v>
      </c>
      <c r="G248" s="25" t="str">
        <f ca="1">IFERROR(__xludf.DUMMYFUNCTION("""COMPUTED_VALUE"""),"MANCOS")</f>
        <v>MANCOS</v>
      </c>
      <c r="H248" s="25" t="str">
        <f ca="1">IFERROR(__xludf.DUMMYFUNCTION("""COMPUTED_VALUE"""),"RURAL")</f>
        <v>RURAL</v>
      </c>
      <c r="I248" s="25" t="str">
        <f ca="1">IFERROR(__xludf.DUMMYFUNCTION("""COMPUTED_VALUE"""),"Prioridad 3")</f>
        <v>Prioridad 3</v>
      </c>
      <c r="J248" s="43" t="s">
        <v>261</v>
      </c>
    </row>
    <row r="249" spans="1:10">
      <c r="A249" s="41">
        <f ca="1">IFERROR(__xludf.DUMMYFUNCTION("""COMPUTED_VALUE"""),45285)</f>
        <v>45285</v>
      </c>
      <c r="B249" s="25" t="str">
        <f ca="1">IFERROR(__xludf.DUMMYFUNCTION("""COMPUTED_VALUE"""),"MUNICIPALIDAD DISTRITAL")</f>
        <v>MUNICIPALIDAD DISTRITAL</v>
      </c>
      <c r="C249" s="25" t="str">
        <f ca="1">IFERROR(__xludf.DUMMYFUNCTION("""COMPUTED_VALUE"""),"MUNICIPALIDAD DISTRITAL DE MATACOTO")</f>
        <v>MUNICIPALIDAD DISTRITAL DE MATACOTO</v>
      </c>
      <c r="D249" s="25" t="str">
        <f ca="1">IFERROR(__xludf.DUMMYFUNCTION("""COMPUTED_VALUE"""),"LA LIBERTAD")</f>
        <v>LA LIBERTAD</v>
      </c>
      <c r="E249" s="25" t="str">
        <f ca="1">IFERROR(__xludf.DUMMYFUNCTION("""COMPUTED_VALUE"""),"ANCASH")</f>
        <v>ANCASH</v>
      </c>
      <c r="F249" s="25" t="str">
        <f ca="1">IFERROR(__xludf.DUMMYFUNCTION("""COMPUTED_VALUE"""),"YUNGAY")</f>
        <v>YUNGAY</v>
      </c>
      <c r="G249" s="25" t="str">
        <f ca="1">IFERROR(__xludf.DUMMYFUNCTION("""COMPUTED_VALUE"""),"MATACOTO")</f>
        <v>MATACOTO</v>
      </c>
      <c r="H249" s="25" t="str">
        <f ca="1">IFERROR(__xludf.DUMMYFUNCTION("""COMPUTED_VALUE"""),"RURAL")</f>
        <v>RURAL</v>
      </c>
      <c r="I249" s="25" t="str">
        <f ca="1">IFERROR(__xludf.DUMMYFUNCTION("""COMPUTED_VALUE"""),"Prioridad 5")</f>
        <v>Prioridad 5</v>
      </c>
      <c r="J249" s="43" t="s">
        <v>261</v>
      </c>
    </row>
    <row r="250" spans="1:10">
      <c r="A250" s="41">
        <f ca="1">IFERROR(__xludf.DUMMYFUNCTION("""COMPUTED_VALUE"""),45286)</f>
        <v>45286</v>
      </c>
      <c r="B250" s="25" t="str">
        <f ca="1">IFERROR(__xludf.DUMMYFUNCTION("""COMPUTED_VALUE"""),"MUNICIPALIDAD DISTRITAL")</f>
        <v>MUNICIPALIDAD DISTRITAL</v>
      </c>
      <c r="C250" s="25" t="str">
        <f ca="1">IFERROR(__xludf.DUMMYFUNCTION("""COMPUTED_VALUE"""),"MUNICIPALIDAD DISTRITAL DE QUILLO")</f>
        <v>MUNICIPALIDAD DISTRITAL DE QUILLO</v>
      </c>
      <c r="D250" s="25" t="str">
        <f ca="1">IFERROR(__xludf.DUMMYFUNCTION("""COMPUTED_VALUE"""),"LA LIBERTAD")</f>
        <v>LA LIBERTAD</v>
      </c>
      <c r="E250" s="25" t="str">
        <f ca="1">IFERROR(__xludf.DUMMYFUNCTION("""COMPUTED_VALUE"""),"ANCASH")</f>
        <v>ANCASH</v>
      </c>
      <c r="F250" s="25" t="str">
        <f ca="1">IFERROR(__xludf.DUMMYFUNCTION("""COMPUTED_VALUE"""),"YUNGAY")</f>
        <v>YUNGAY</v>
      </c>
      <c r="G250" s="25" t="str">
        <f ca="1">IFERROR(__xludf.DUMMYFUNCTION("""COMPUTED_VALUE"""),"QUILLO")</f>
        <v>QUILLO</v>
      </c>
      <c r="H250" s="25" t="str">
        <f ca="1">IFERROR(__xludf.DUMMYFUNCTION("""COMPUTED_VALUE"""),"RURAL")</f>
        <v>RURAL</v>
      </c>
      <c r="I250" s="25" t="str">
        <f ca="1">IFERROR(__xludf.DUMMYFUNCTION("""COMPUTED_VALUE"""),"Prioridad 5")</f>
        <v>Prioridad 5</v>
      </c>
      <c r="J250" s="43" t="s">
        <v>261</v>
      </c>
    </row>
    <row r="251" spans="1:10">
      <c r="A251" s="41">
        <f ca="1">IFERROR(__xludf.DUMMYFUNCTION("""COMPUTED_VALUE"""),45292)</f>
        <v>45292</v>
      </c>
      <c r="B251" s="25" t="str">
        <f ca="1">IFERROR(__xludf.DUMMYFUNCTION("""COMPUTED_VALUE"""),"MUNICIPALIDAD DISTRITAL")</f>
        <v>MUNICIPALIDAD DISTRITAL</v>
      </c>
      <c r="C251" s="25" t="str">
        <f ca="1">IFERROR(__xludf.DUMMYFUNCTION("""COMPUTED_VALUE"""),"MUNICIPALIDAD DISTRITAL DE RANRAHIRCA")</f>
        <v>MUNICIPALIDAD DISTRITAL DE RANRAHIRCA</v>
      </c>
      <c r="D251" s="25" t="str">
        <f ca="1">IFERROR(__xludf.DUMMYFUNCTION("""COMPUTED_VALUE"""),"LA LIBERTAD")</f>
        <v>LA LIBERTAD</v>
      </c>
      <c r="E251" s="25" t="str">
        <f ca="1">IFERROR(__xludf.DUMMYFUNCTION("""COMPUTED_VALUE"""),"ANCASH")</f>
        <v>ANCASH</v>
      </c>
      <c r="F251" s="25" t="str">
        <f ca="1">IFERROR(__xludf.DUMMYFUNCTION("""COMPUTED_VALUE"""),"YUNGAY")</f>
        <v>YUNGAY</v>
      </c>
      <c r="G251" s="25" t="str">
        <f ca="1">IFERROR(__xludf.DUMMYFUNCTION("""COMPUTED_VALUE"""),"RANRAHIRCA")</f>
        <v>RANRAHIRCA</v>
      </c>
      <c r="H251" s="25" t="str">
        <f ca="1">IFERROR(__xludf.DUMMYFUNCTION("""COMPUTED_VALUE"""),"RURAL")</f>
        <v>RURAL</v>
      </c>
      <c r="I251" s="25" t="str">
        <f ca="1">IFERROR(__xludf.DUMMYFUNCTION("""COMPUTED_VALUE"""),"Prioridad 3")</f>
        <v>Prioridad 3</v>
      </c>
      <c r="J251" s="43" t="s">
        <v>261</v>
      </c>
    </row>
    <row r="252" spans="1:10">
      <c r="A252" s="41">
        <f ca="1">IFERROR(__xludf.DUMMYFUNCTION("""COMPUTED_VALUE"""),45293)</f>
        <v>45293</v>
      </c>
      <c r="B252" s="25" t="str">
        <f ca="1">IFERROR(__xludf.DUMMYFUNCTION("""COMPUTED_VALUE"""),"MUNICIPALIDAD DISTRITAL")</f>
        <v>MUNICIPALIDAD DISTRITAL</v>
      </c>
      <c r="C252" s="25" t="str">
        <f ca="1">IFERROR(__xludf.DUMMYFUNCTION("""COMPUTED_VALUE"""),"MUNICIPALIDAD DISTRITAL DE SHUPLUY")</f>
        <v>MUNICIPALIDAD DISTRITAL DE SHUPLUY</v>
      </c>
      <c r="D252" s="25" t="str">
        <f ca="1">IFERROR(__xludf.DUMMYFUNCTION("""COMPUTED_VALUE"""),"LA LIBERTAD")</f>
        <v>LA LIBERTAD</v>
      </c>
      <c r="E252" s="25" t="str">
        <f ca="1">IFERROR(__xludf.DUMMYFUNCTION("""COMPUTED_VALUE"""),"ANCASH")</f>
        <v>ANCASH</v>
      </c>
      <c r="F252" s="25" t="str">
        <f ca="1">IFERROR(__xludf.DUMMYFUNCTION("""COMPUTED_VALUE"""),"YUNGAY")</f>
        <v>YUNGAY</v>
      </c>
      <c r="G252" s="25" t="str">
        <f ca="1">IFERROR(__xludf.DUMMYFUNCTION("""COMPUTED_VALUE"""),"SHUPLUY")</f>
        <v>SHUPLUY</v>
      </c>
      <c r="H252" s="25" t="str">
        <f ca="1">IFERROR(__xludf.DUMMYFUNCTION("""COMPUTED_VALUE"""),"RURAL")</f>
        <v>RURAL</v>
      </c>
      <c r="I252" s="25" t="str">
        <f ca="1">IFERROR(__xludf.DUMMYFUNCTION("""COMPUTED_VALUE"""),"Prioridad 5")</f>
        <v>Prioridad 5</v>
      </c>
      <c r="J252" s="43" t="s">
        <v>261</v>
      </c>
    </row>
    <row r="253" spans="1:10">
      <c r="A253" s="41">
        <f ca="1">IFERROR(__xludf.DUMMYFUNCTION("""COMPUTED_VALUE"""),45379)</f>
        <v>45379</v>
      </c>
      <c r="B253" s="25" t="str">
        <f ca="1">IFERROR(__xludf.DUMMYFUNCTION("""COMPUTED_VALUE"""),"MUNICIPALIDAD DISTRITAL")</f>
        <v>MUNICIPALIDAD DISTRITAL</v>
      </c>
      <c r="C253" s="25" t="str">
        <f ca="1">IFERROR(__xludf.DUMMYFUNCTION("""COMPUTED_VALUE"""),"MUNICIPALIDAD DISTRITAL DE YANAMA")</f>
        <v>MUNICIPALIDAD DISTRITAL DE YANAMA</v>
      </c>
      <c r="D253" s="25" t="str">
        <f ca="1">IFERROR(__xludf.DUMMYFUNCTION("""COMPUTED_VALUE"""),"LA LIBERTAD")</f>
        <v>LA LIBERTAD</v>
      </c>
      <c r="E253" s="25" t="str">
        <f ca="1">IFERROR(__xludf.DUMMYFUNCTION("""COMPUTED_VALUE"""),"ANCASH")</f>
        <v>ANCASH</v>
      </c>
      <c r="F253" s="25" t="str">
        <f ca="1">IFERROR(__xludf.DUMMYFUNCTION("""COMPUTED_VALUE"""),"YUNGAY")</f>
        <v>YUNGAY</v>
      </c>
      <c r="G253" s="25" t="str">
        <f ca="1">IFERROR(__xludf.DUMMYFUNCTION("""COMPUTED_VALUE"""),"YANAMA")</f>
        <v>YANAMA</v>
      </c>
      <c r="H253" s="25" t="str">
        <f ca="1">IFERROR(__xludf.DUMMYFUNCTION("""COMPUTED_VALUE"""),"RURAL")</f>
        <v>RURAL</v>
      </c>
      <c r="I253" s="25" t="str">
        <f ca="1">IFERROR(__xludf.DUMMYFUNCTION("""COMPUTED_VALUE"""),"Prioridad 5")</f>
        <v>Prioridad 5</v>
      </c>
      <c r="J253" s="43" t="s">
        <v>261</v>
      </c>
    </row>
    <row r="254" spans="1:10">
      <c r="A254" s="41">
        <f ca="1">IFERROR(__xludf.DUMMYFUNCTION("""COMPUTED_VALUE"""),45380)</f>
        <v>45380</v>
      </c>
      <c r="B254" s="25" t="str">
        <f ca="1">IFERROR(__xludf.DUMMYFUNCTION("""COMPUTED_VALUE"""),"MUNICIPALIDAD DISTRITAL")</f>
        <v>MUNICIPALIDAD DISTRITAL</v>
      </c>
      <c r="C254" s="25" t="str">
        <f ca="1">IFERROR(__xludf.DUMMYFUNCTION("""COMPUTED_VALUE"""),"MUNICIPALIDAD DISTRITAL DE CHACOCHE")</f>
        <v>MUNICIPALIDAD DISTRITAL DE CHACOCHE</v>
      </c>
      <c r="D254" s="25" t="str">
        <f ca="1">IFERROR(__xludf.DUMMYFUNCTION("""COMPUTED_VALUE"""),"CUZCO")</f>
        <v>CUZCO</v>
      </c>
      <c r="E254" s="25" t="str">
        <f ca="1">IFERROR(__xludf.DUMMYFUNCTION("""COMPUTED_VALUE"""),"APURÍMAC")</f>
        <v>APURÍMAC</v>
      </c>
      <c r="F254" s="25" t="str">
        <f ca="1">IFERROR(__xludf.DUMMYFUNCTION("""COMPUTED_VALUE"""),"ABANCAY")</f>
        <v>ABANCAY</v>
      </c>
      <c r="G254" s="25" t="str">
        <f ca="1">IFERROR(__xludf.DUMMYFUNCTION("""COMPUTED_VALUE"""),"CHACOCHE")</f>
        <v>CHACOCHE</v>
      </c>
      <c r="H254" s="25" t="str">
        <f ca="1">IFERROR(__xludf.DUMMYFUNCTION("""COMPUTED_VALUE"""),"RURAL")</f>
        <v>RURAL</v>
      </c>
      <c r="I254" s="25" t="str">
        <f ca="1">IFERROR(__xludf.DUMMYFUNCTION("""COMPUTED_VALUE"""),"Prioridad 3")</f>
        <v>Prioridad 3</v>
      </c>
      <c r="J254" s="43" t="s">
        <v>262</v>
      </c>
    </row>
    <row r="255" spans="1:10">
      <c r="A255" s="41">
        <f ca="1">IFERROR(__xludf.DUMMYFUNCTION("""COMPUTED_VALUE"""),45450)</f>
        <v>45450</v>
      </c>
      <c r="B255" s="25" t="str">
        <f ca="1">IFERROR(__xludf.DUMMYFUNCTION("""COMPUTED_VALUE"""),"MUNICIPALIDAD DISTRITAL")</f>
        <v>MUNICIPALIDAD DISTRITAL</v>
      </c>
      <c r="C255" s="25" t="str">
        <f ca="1">IFERROR(__xludf.DUMMYFUNCTION("""COMPUTED_VALUE"""),"MUNICIPALIDAD DISTRITAL DE CIRCA")</f>
        <v>MUNICIPALIDAD DISTRITAL DE CIRCA</v>
      </c>
      <c r="D255" s="25" t="str">
        <f ca="1">IFERROR(__xludf.DUMMYFUNCTION("""COMPUTED_VALUE"""),"CUZCO")</f>
        <v>CUZCO</v>
      </c>
      <c r="E255" s="25" t="str">
        <f ca="1">IFERROR(__xludf.DUMMYFUNCTION("""COMPUTED_VALUE"""),"APURÍMAC")</f>
        <v>APURÍMAC</v>
      </c>
      <c r="F255" s="25" t="str">
        <f ca="1">IFERROR(__xludf.DUMMYFUNCTION("""COMPUTED_VALUE"""),"ABANCAY")</f>
        <v>ABANCAY</v>
      </c>
      <c r="G255" s="25" t="str">
        <f ca="1">IFERROR(__xludf.DUMMYFUNCTION("""COMPUTED_VALUE"""),"CIRCA")</f>
        <v>CIRCA</v>
      </c>
      <c r="H255" s="25" t="str">
        <f ca="1">IFERROR(__xludf.DUMMYFUNCTION("""COMPUTED_VALUE"""),"RURAL")</f>
        <v>RURAL</v>
      </c>
      <c r="I255" s="25" t="str">
        <f ca="1">IFERROR(__xludf.DUMMYFUNCTION("""COMPUTED_VALUE"""),"Prioridad 3")</f>
        <v>Prioridad 3</v>
      </c>
      <c r="J255" s="43" t="s">
        <v>262</v>
      </c>
    </row>
    <row r="256" spans="1:10">
      <c r="A256" s="41">
        <f ca="1">IFERROR(__xludf.DUMMYFUNCTION("""COMPUTED_VALUE"""),45472)</f>
        <v>45472</v>
      </c>
      <c r="B256" s="25" t="str">
        <f ca="1">IFERROR(__xludf.DUMMYFUNCTION("""COMPUTED_VALUE"""),"MUNICIPALIDAD DISTRITAL")</f>
        <v>MUNICIPALIDAD DISTRITAL</v>
      </c>
      <c r="C256" s="25" t="str">
        <f ca="1">IFERROR(__xludf.DUMMYFUNCTION("""COMPUTED_VALUE"""),"MUNICIPALIDAD DISTRITAL DE CURAHUASI")</f>
        <v>MUNICIPALIDAD DISTRITAL DE CURAHUASI</v>
      </c>
      <c r="D256" s="25" t="str">
        <f ca="1">IFERROR(__xludf.DUMMYFUNCTION("""COMPUTED_VALUE"""),"CUZCO")</f>
        <v>CUZCO</v>
      </c>
      <c r="E256" s="25" t="str">
        <f ca="1">IFERROR(__xludf.DUMMYFUNCTION("""COMPUTED_VALUE"""),"APURÍMAC")</f>
        <v>APURÍMAC</v>
      </c>
      <c r="F256" s="25" t="str">
        <f ca="1">IFERROR(__xludf.DUMMYFUNCTION("""COMPUTED_VALUE"""),"ABANCAY")</f>
        <v>ABANCAY</v>
      </c>
      <c r="G256" s="25" t="str">
        <f ca="1">IFERROR(__xludf.DUMMYFUNCTION("""COMPUTED_VALUE"""),"CURAHUASI")</f>
        <v>CURAHUASI</v>
      </c>
      <c r="H256" s="25" t="str">
        <f ca="1">IFERROR(__xludf.DUMMYFUNCTION("""COMPUTED_VALUE"""),"RURAL")</f>
        <v>RURAL</v>
      </c>
      <c r="I256" s="25" t="str">
        <f ca="1">IFERROR(__xludf.DUMMYFUNCTION("""COMPUTED_VALUE"""),"Prioridad 3")</f>
        <v>Prioridad 3</v>
      </c>
      <c r="J256" s="43" t="s">
        <v>262</v>
      </c>
    </row>
    <row r="257" spans="1:10">
      <c r="A257" s="41">
        <f ca="1">IFERROR(__xludf.DUMMYFUNCTION("""COMPUTED_VALUE"""),45496)</f>
        <v>45496</v>
      </c>
      <c r="B257" s="25" t="str">
        <f ca="1">IFERROR(__xludf.DUMMYFUNCTION("""COMPUTED_VALUE"""),"MUNICIPALIDAD DISTRITAL")</f>
        <v>MUNICIPALIDAD DISTRITAL</v>
      </c>
      <c r="C257" s="25" t="str">
        <f ca="1">IFERROR(__xludf.DUMMYFUNCTION("""COMPUTED_VALUE"""),"MUNICIPALIDAD DISTRITAL DE HUANIPACA")</f>
        <v>MUNICIPALIDAD DISTRITAL DE HUANIPACA</v>
      </c>
      <c r="D257" s="25" t="str">
        <f ca="1">IFERROR(__xludf.DUMMYFUNCTION("""COMPUTED_VALUE"""),"CUZCO")</f>
        <v>CUZCO</v>
      </c>
      <c r="E257" s="25" t="str">
        <f ca="1">IFERROR(__xludf.DUMMYFUNCTION("""COMPUTED_VALUE"""),"APURÍMAC")</f>
        <v>APURÍMAC</v>
      </c>
      <c r="F257" s="25" t="str">
        <f ca="1">IFERROR(__xludf.DUMMYFUNCTION("""COMPUTED_VALUE"""),"ABANCAY")</f>
        <v>ABANCAY</v>
      </c>
      <c r="G257" s="25" t="str">
        <f ca="1">IFERROR(__xludf.DUMMYFUNCTION("""COMPUTED_VALUE"""),"HUANIPACA")</f>
        <v>HUANIPACA</v>
      </c>
      <c r="H257" s="25" t="str">
        <f ca="1">IFERROR(__xludf.DUMMYFUNCTION("""COMPUTED_VALUE"""),"RURAL")</f>
        <v>RURAL</v>
      </c>
      <c r="I257" s="25" t="str">
        <f ca="1">IFERROR(__xludf.DUMMYFUNCTION("""COMPUTED_VALUE"""),"Prioridad 4")</f>
        <v>Prioridad 4</v>
      </c>
      <c r="J257" s="43" t="s">
        <v>262</v>
      </c>
    </row>
    <row r="258" spans="1:10">
      <c r="A258" s="41">
        <f ca="1">IFERROR(__xludf.DUMMYFUNCTION("""COMPUTED_VALUE"""),45501)</f>
        <v>45501</v>
      </c>
      <c r="B258" s="25" t="str">
        <f ca="1">IFERROR(__xludf.DUMMYFUNCTION("""COMPUTED_VALUE"""),"MUNICIPALIDAD DISTRITAL")</f>
        <v>MUNICIPALIDAD DISTRITAL</v>
      </c>
      <c r="C258" s="25" t="str">
        <f ca="1">IFERROR(__xludf.DUMMYFUNCTION("""COMPUTED_VALUE"""),"MUNICIPALIDAD DISTRITAL DE LAMBRAMA")</f>
        <v>MUNICIPALIDAD DISTRITAL DE LAMBRAMA</v>
      </c>
      <c r="D258" s="25" t="str">
        <f ca="1">IFERROR(__xludf.DUMMYFUNCTION("""COMPUTED_VALUE"""),"CUZCO")</f>
        <v>CUZCO</v>
      </c>
      <c r="E258" s="25" t="str">
        <f ca="1">IFERROR(__xludf.DUMMYFUNCTION("""COMPUTED_VALUE"""),"APURÍMAC")</f>
        <v>APURÍMAC</v>
      </c>
      <c r="F258" s="25" t="str">
        <f ca="1">IFERROR(__xludf.DUMMYFUNCTION("""COMPUTED_VALUE"""),"ABANCAY")</f>
        <v>ABANCAY</v>
      </c>
      <c r="G258" s="25" t="str">
        <f ca="1">IFERROR(__xludf.DUMMYFUNCTION("""COMPUTED_VALUE"""),"LAMBRAMA")</f>
        <v>LAMBRAMA</v>
      </c>
      <c r="H258" s="25" t="str">
        <f ca="1">IFERROR(__xludf.DUMMYFUNCTION("""COMPUTED_VALUE"""),"RURAL")</f>
        <v>RURAL</v>
      </c>
      <c r="I258" s="25" t="str">
        <f ca="1">IFERROR(__xludf.DUMMYFUNCTION("""COMPUTED_VALUE"""),"Prioridad 4")</f>
        <v>Prioridad 4</v>
      </c>
      <c r="J258" s="43" t="s">
        <v>262</v>
      </c>
    </row>
    <row r="259" spans="1:10">
      <c r="A259" s="41">
        <f ca="1">IFERROR(__xludf.DUMMYFUNCTION("""COMPUTED_VALUE"""),45502)</f>
        <v>45502</v>
      </c>
      <c r="B259" s="25" t="str">
        <f ca="1">IFERROR(__xludf.DUMMYFUNCTION("""COMPUTED_VALUE"""),"MUNICIPALIDAD DISTRITAL")</f>
        <v>MUNICIPALIDAD DISTRITAL</v>
      </c>
      <c r="C259" s="25" t="str">
        <f ca="1">IFERROR(__xludf.DUMMYFUNCTION("""COMPUTED_VALUE"""),"MUNICIPALIDAD DISTRITAL DE PICHIRHUA")</f>
        <v>MUNICIPALIDAD DISTRITAL DE PICHIRHUA</v>
      </c>
      <c r="D259" s="25" t="str">
        <f ca="1">IFERROR(__xludf.DUMMYFUNCTION("""COMPUTED_VALUE"""),"CUZCO")</f>
        <v>CUZCO</v>
      </c>
      <c r="E259" s="25" t="str">
        <f ca="1">IFERROR(__xludf.DUMMYFUNCTION("""COMPUTED_VALUE"""),"APURÍMAC")</f>
        <v>APURÍMAC</v>
      </c>
      <c r="F259" s="25" t="str">
        <f ca="1">IFERROR(__xludf.DUMMYFUNCTION("""COMPUTED_VALUE"""),"ABANCAY")</f>
        <v>ABANCAY</v>
      </c>
      <c r="G259" s="25" t="str">
        <f ca="1">IFERROR(__xludf.DUMMYFUNCTION("""COMPUTED_VALUE"""),"PICHIRHUA")</f>
        <v>PICHIRHUA</v>
      </c>
      <c r="H259" s="25" t="str">
        <f ca="1">IFERROR(__xludf.DUMMYFUNCTION("""COMPUTED_VALUE"""),"RURAL")</f>
        <v>RURAL</v>
      </c>
      <c r="I259" s="25" t="str">
        <f ca="1">IFERROR(__xludf.DUMMYFUNCTION("""COMPUTED_VALUE"""),"Prioridad 5")</f>
        <v>Prioridad 5</v>
      </c>
      <c r="J259" s="43" t="s">
        <v>262</v>
      </c>
    </row>
    <row r="260" spans="1:10">
      <c r="A260" s="41">
        <f ca="1">IFERROR(__xludf.DUMMYFUNCTION("""COMPUTED_VALUE"""),45510)</f>
        <v>45510</v>
      </c>
      <c r="B260" s="25" t="str">
        <f ca="1">IFERROR(__xludf.DUMMYFUNCTION("""COMPUTED_VALUE"""),"MUNICIPALIDAD DISTRITAL")</f>
        <v>MUNICIPALIDAD DISTRITAL</v>
      </c>
      <c r="C260" s="25" t="str">
        <f ca="1">IFERROR(__xludf.DUMMYFUNCTION("""COMPUTED_VALUE"""),"MUNICIPALIDAD DISTRITAL DE SAN PEDRO DE CACHORA")</f>
        <v>MUNICIPALIDAD DISTRITAL DE SAN PEDRO DE CACHORA</v>
      </c>
      <c r="D260" s="25" t="str">
        <f ca="1">IFERROR(__xludf.DUMMYFUNCTION("""COMPUTED_VALUE"""),"CUZCO")</f>
        <v>CUZCO</v>
      </c>
      <c r="E260" s="25" t="str">
        <f ca="1">IFERROR(__xludf.DUMMYFUNCTION("""COMPUTED_VALUE"""),"APURÍMAC")</f>
        <v>APURÍMAC</v>
      </c>
      <c r="F260" s="25" t="str">
        <f ca="1">IFERROR(__xludf.DUMMYFUNCTION("""COMPUTED_VALUE"""),"ABANCAY")</f>
        <v>ABANCAY</v>
      </c>
      <c r="G260" s="25" t="str">
        <f ca="1">IFERROR(__xludf.DUMMYFUNCTION("""COMPUTED_VALUE"""),"SAN PEDRO DE CACHORA")</f>
        <v>SAN PEDRO DE CACHORA</v>
      </c>
      <c r="H260" s="25" t="str">
        <f ca="1">IFERROR(__xludf.DUMMYFUNCTION("""COMPUTED_VALUE"""),"RURAL")</f>
        <v>RURAL</v>
      </c>
      <c r="I260" s="25" t="str">
        <f ca="1">IFERROR(__xludf.DUMMYFUNCTION("""COMPUTED_VALUE"""),"Prioridad 4")</f>
        <v>Prioridad 4</v>
      </c>
      <c r="J260" s="43" t="s">
        <v>262</v>
      </c>
    </row>
    <row r="261" spans="1:10">
      <c r="A261" s="41">
        <f ca="1">IFERROR(__xludf.DUMMYFUNCTION("""COMPUTED_VALUE"""),45534)</f>
        <v>45534</v>
      </c>
      <c r="B261" s="25" t="str">
        <f ca="1">IFERROR(__xludf.DUMMYFUNCTION("""COMPUTED_VALUE"""),"MUNICIPALIDAD DISTRITAL")</f>
        <v>MUNICIPALIDAD DISTRITAL</v>
      </c>
      <c r="C261" s="25" t="str">
        <f ca="1">IFERROR(__xludf.DUMMYFUNCTION("""COMPUTED_VALUE"""),"MUNICIPALIDAD DISTRITAL DE TAMBURCO")</f>
        <v>MUNICIPALIDAD DISTRITAL DE TAMBURCO</v>
      </c>
      <c r="D261" s="25" t="str">
        <f ca="1">IFERROR(__xludf.DUMMYFUNCTION("""COMPUTED_VALUE"""),"CUZCO")</f>
        <v>CUZCO</v>
      </c>
      <c r="E261" s="25" t="str">
        <f ca="1">IFERROR(__xludf.DUMMYFUNCTION("""COMPUTED_VALUE"""),"APURÍMAC")</f>
        <v>APURÍMAC</v>
      </c>
      <c r="F261" s="25" t="str">
        <f ca="1">IFERROR(__xludf.DUMMYFUNCTION("""COMPUTED_VALUE"""),"ABANCAY")</f>
        <v>ABANCAY</v>
      </c>
      <c r="G261" s="25" t="str">
        <f ca="1">IFERROR(__xludf.DUMMYFUNCTION("""COMPUTED_VALUE"""),"TAMBURCO")</f>
        <v>TAMBURCO</v>
      </c>
      <c r="H261" s="25" t="str">
        <f ca="1">IFERROR(__xludf.DUMMYFUNCTION("""COMPUTED_VALUE"""),"URBANO")</f>
        <v>URBANO</v>
      </c>
      <c r="I261" s="25" t="str">
        <f ca="1">IFERROR(__xludf.DUMMYFUNCTION("""COMPUTED_VALUE"""),"Prioridad 1")</f>
        <v>Prioridad 1</v>
      </c>
      <c r="J261" s="43" t="s">
        <v>262</v>
      </c>
    </row>
    <row r="262" spans="1:10">
      <c r="A262" s="41">
        <f ca="1">IFERROR(__xludf.DUMMYFUNCTION("""COMPUTED_VALUE"""),45573)</f>
        <v>45573</v>
      </c>
      <c r="B262" s="25" t="str">
        <f ca="1">IFERROR(__xludf.DUMMYFUNCTION("""COMPUTED_VALUE"""),"MUNICIPALIDAD PROVINCIAL")</f>
        <v>MUNICIPALIDAD PROVINCIAL</v>
      </c>
      <c r="C262" s="25" t="str">
        <f ca="1">IFERROR(__xludf.DUMMYFUNCTION("""COMPUTED_VALUE"""),"MUNICIPALIDAD PROVINCIAL DE ABANCAY")</f>
        <v>MUNICIPALIDAD PROVINCIAL DE ABANCAY</v>
      </c>
      <c r="D262" s="25" t="str">
        <f ca="1">IFERROR(__xludf.DUMMYFUNCTION("""COMPUTED_VALUE"""),"CUZCO")</f>
        <v>CUZCO</v>
      </c>
      <c r="E262" s="25" t="str">
        <f ca="1">IFERROR(__xludf.DUMMYFUNCTION("""COMPUTED_VALUE"""),"APURÍMAC")</f>
        <v>APURÍMAC</v>
      </c>
      <c r="F262" s="25" t="str">
        <f ca="1">IFERROR(__xludf.DUMMYFUNCTION("""COMPUTED_VALUE"""),"ABANCAY")</f>
        <v>ABANCAY</v>
      </c>
      <c r="G262" s="25" t="str">
        <f ca="1">IFERROR(__xludf.DUMMYFUNCTION("""COMPUTED_VALUE"""),"ABANCAY")</f>
        <v>ABANCAY</v>
      </c>
      <c r="H262" s="25" t="str">
        <f ca="1">IFERROR(__xludf.DUMMYFUNCTION("""COMPUTED_VALUE"""),"URBANO")</f>
        <v>URBANO</v>
      </c>
      <c r="I262" s="25" t="str">
        <f ca="1">IFERROR(__xludf.DUMMYFUNCTION("""COMPUTED_VALUE"""),"Prioridad 1")</f>
        <v>Prioridad 1</v>
      </c>
      <c r="J262" s="43" t="s">
        <v>262</v>
      </c>
    </row>
    <row r="263" spans="1:10">
      <c r="A263" s="41">
        <f ca="1">IFERROR(__xludf.DUMMYFUNCTION("""COMPUTED_VALUE"""),45597)</f>
        <v>45597</v>
      </c>
      <c r="B263" s="25" t="str">
        <f ca="1">IFERROR(__xludf.DUMMYFUNCTION("""COMPUTED_VALUE"""),"GOBIERNO REGIONAL")</f>
        <v>GOBIERNO REGIONAL</v>
      </c>
      <c r="C263" s="25" t="str">
        <f ca="1">IFERROR(__xludf.DUMMYFUNCTION("""COMPUTED_VALUE"""),"GOBIERNO REGIONAL DE APURIMAC")</f>
        <v>GOBIERNO REGIONAL DE APURIMAC</v>
      </c>
      <c r="D263" s="25" t="str">
        <f ca="1">IFERROR(__xludf.DUMMYFUNCTION("""COMPUTED_VALUE"""),"CUZCO")</f>
        <v>CUZCO</v>
      </c>
      <c r="E263" s="25" t="str">
        <f ca="1">IFERROR(__xludf.DUMMYFUNCTION("""COMPUTED_VALUE"""),"APURÍMAC")</f>
        <v>APURÍMAC</v>
      </c>
      <c r="F263" s="25" t="str">
        <f ca="1">IFERROR(__xludf.DUMMYFUNCTION("""COMPUTED_VALUE"""),"ABANCAY ")</f>
        <v xml:space="preserve">ABANCAY </v>
      </c>
      <c r="G263" s="25" t="str">
        <f ca="1">IFERROR(__xludf.DUMMYFUNCTION("""COMPUTED_VALUE"""),"ABANCAY")</f>
        <v>ABANCAY</v>
      </c>
      <c r="H263" s="25"/>
      <c r="I263" s="25" t="str">
        <f ca="1">IFERROR(__xludf.DUMMYFUNCTION("""COMPUTED_VALUE"""),"Prioridad 1")</f>
        <v>Prioridad 1</v>
      </c>
      <c r="J263" s="43" t="s">
        <v>262</v>
      </c>
    </row>
    <row r="264" spans="1:10">
      <c r="A264" s="41">
        <f ca="1">IFERROR(__xludf.DUMMYFUNCTION("""COMPUTED_VALUE"""),45634)</f>
        <v>45634</v>
      </c>
      <c r="B264" s="25" t="str">
        <f ca="1">IFERROR(__xludf.DUMMYFUNCTION("""COMPUTED_VALUE"""),"MUNICIPALIDAD PROVINCIAL")</f>
        <v>MUNICIPALIDAD PROVINCIAL</v>
      </c>
      <c r="C264" s="25" t="str">
        <f ca="1">IFERROR(__xludf.DUMMYFUNCTION("""COMPUTED_VALUE"""),"MUNICIPALIDAD PROVINCIAL DE ANDAHUAYLAS")</f>
        <v>MUNICIPALIDAD PROVINCIAL DE ANDAHUAYLAS</v>
      </c>
      <c r="D264" s="25" t="str">
        <f ca="1">IFERROR(__xludf.DUMMYFUNCTION("""COMPUTED_VALUE"""),"CUZCO")</f>
        <v>CUZCO</v>
      </c>
      <c r="E264" s="25" t="str">
        <f ca="1">IFERROR(__xludf.DUMMYFUNCTION("""COMPUTED_VALUE"""),"APURÍMAC")</f>
        <v>APURÍMAC</v>
      </c>
      <c r="F264" s="25" t="str">
        <f ca="1">IFERROR(__xludf.DUMMYFUNCTION("""COMPUTED_VALUE"""),"ANDAHUAYLAS")</f>
        <v>ANDAHUAYLAS</v>
      </c>
      <c r="G264" s="25" t="str">
        <f ca="1">IFERROR(__xludf.DUMMYFUNCTION("""COMPUTED_VALUE"""),"ANDAHUAYLAS")</f>
        <v>ANDAHUAYLAS</v>
      </c>
      <c r="H264" s="25" t="str">
        <f ca="1">IFERROR(__xludf.DUMMYFUNCTION("""COMPUTED_VALUE"""),"URBANO")</f>
        <v>URBANO</v>
      </c>
      <c r="I264" s="25" t="str">
        <f ca="1">IFERROR(__xludf.DUMMYFUNCTION("""COMPUTED_VALUE"""),"Prioridad 1")</f>
        <v>Prioridad 1</v>
      </c>
      <c r="J264" s="43" t="s">
        <v>262</v>
      </c>
    </row>
    <row r="265" spans="1:10">
      <c r="A265" s="41">
        <f ca="1">IFERROR(__xludf.DUMMYFUNCTION("""COMPUTED_VALUE"""),45635)</f>
        <v>45635</v>
      </c>
      <c r="B265" s="25" t="str">
        <f ca="1">IFERROR(__xludf.DUMMYFUNCTION("""COMPUTED_VALUE"""),"MUNICIPALIDAD DISTRITAL")</f>
        <v>MUNICIPALIDAD DISTRITAL</v>
      </c>
      <c r="C265" s="25" t="str">
        <f ca="1">IFERROR(__xludf.DUMMYFUNCTION("""COMPUTED_VALUE"""),"MUNICIPALIDAD DISTRITAL DE ANDARAPA")</f>
        <v>MUNICIPALIDAD DISTRITAL DE ANDARAPA</v>
      </c>
      <c r="D265" s="25" t="str">
        <f ca="1">IFERROR(__xludf.DUMMYFUNCTION("""COMPUTED_VALUE"""),"CUZCO")</f>
        <v>CUZCO</v>
      </c>
      <c r="E265" s="25" t="str">
        <f ca="1">IFERROR(__xludf.DUMMYFUNCTION("""COMPUTED_VALUE"""),"APURÍMAC")</f>
        <v>APURÍMAC</v>
      </c>
      <c r="F265" s="25" t="str">
        <f ca="1">IFERROR(__xludf.DUMMYFUNCTION("""COMPUTED_VALUE"""),"ANDAHUAYLAS")</f>
        <v>ANDAHUAYLAS</v>
      </c>
      <c r="G265" s="25" t="str">
        <f ca="1">IFERROR(__xludf.DUMMYFUNCTION("""COMPUTED_VALUE"""),"ANDARAPA")</f>
        <v>ANDARAPA</v>
      </c>
      <c r="H265" s="25" t="str">
        <f ca="1">IFERROR(__xludf.DUMMYFUNCTION("""COMPUTED_VALUE"""),"RURAL")</f>
        <v>RURAL</v>
      </c>
      <c r="I265" s="25" t="str">
        <f ca="1">IFERROR(__xludf.DUMMYFUNCTION("""COMPUTED_VALUE"""),"Prioridad 5")</f>
        <v>Prioridad 5</v>
      </c>
      <c r="J265" s="43" t="s">
        <v>262</v>
      </c>
    </row>
    <row r="266" spans="1:10">
      <c r="B266" s="25" t="str">
        <f ca="1">IFERROR(__xludf.DUMMYFUNCTION("""COMPUTED_VALUE"""),"MUNICIPALIDAD DISTRITAL")</f>
        <v>MUNICIPALIDAD DISTRITAL</v>
      </c>
      <c r="C266" s="25" t="str">
        <f ca="1">IFERROR(__xludf.DUMMYFUNCTION("""COMPUTED_VALUE"""),"MUNICIPALIDAD DISTRITAL DE CHIARA EN ANDAHUAYLAS")</f>
        <v>MUNICIPALIDAD DISTRITAL DE CHIARA EN ANDAHUAYLAS</v>
      </c>
      <c r="D266" s="25" t="str">
        <f ca="1">IFERROR(__xludf.DUMMYFUNCTION("""COMPUTED_VALUE"""),"CUZCO")</f>
        <v>CUZCO</v>
      </c>
      <c r="E266" s="25" t="str">
        <f ca="1">IFERROR(__xludf.DUMMYFUNCTION("""COMPUTED_VALUE"""),"APURÍMAC")</f>
        <v>APURÍMAC</v>
      </c>
      <c r="F266" s="25" t="str">
        <f ca="1">IFERROR(__xludf.DUMMYFUNCTION("""COMPUTED_VALUE"""),"ANDAHUAYLAS")</f>
        <v>ANDAHUAYLAS</v>
      </c>
      <c r="G266" s="25" t="str">
        <f ca="1">IFERROR(__xludf.DUMMYFUNCTION("""COMPUTED_VALUE"""),"CHIARA")</f>
        <v>CHIARA</v>
      </c>
      <c r="H266" s="25" t="str">
        <f ca="1">IFERROR(__xludf.DUMMYFUNCTION("""COMPUTED_VALUE"""),"RURAL")</f>
        <v>RURAL</v>
      </c>
      <c r="I266" s="25" t="str">
        <f ca="1">IFERROR(__xludf.DUMMYFUNCTION("""COMPUTED_VALUE"""),"Prioridad 3")</f>
        <v>Prioridad 3</v>
      </c>
      <c r="J266" s="43" t="s">
        <v>262</v>
      </c>
    </row>
    <row r="267" spans="1:10">
      <c r="B267" s="25" t="str">
        <f ca="1">IFERROR(__xludf.DUMMYFUNCTION("""COMPUTED_VALUE"""),"MUNICIPALIDAD DISTRITAL")</f>
        <v>MUNICIPALIDAD DISTRITAL</v>
      </c>
      <c r="C267" s="25" t="str">
        <f ca="1">IFERROR(__xludf.DUMMYFUNCTION("""COMPUTED_VALUE"""),"MUNICIPALIDAD DISTRITAL DE HUANCARAMA")</f>
        <v>MUNICIPALIDAD DISTRITAL DE HUANCARAMA</v>
      </c>
      <c r="D267" s="25" t="str">
        <f ca="1">IFERROR(__xludf.DUMMYFUNCTION("""COMPUTED_VALUE"""),"CUZCO")</f>
        <v>CUZCO</v>
      </c>
      <c r="E267" s="25" t="str">
        <f ca="1">IFERROR(__xludf.DUMMYFUNCTION("""COMPUTED_VALUE"""),"APURÍMAC")</f>
        <v>APURÍMAC</v>
      </c>
      <c r="F267" s="25" t="str">
        <f ca="1">IFERROR(__xludf.DUMMYFUNCTION("""COMPUTED_VALUE"""),"ANDAHUAYLAS")</f>
        <v>ANDAHUAYLAS</v>
      </c>
      <c r="G267" s="25" t="str">
        <f ca="1">IFERROR(__xludf.DUMMYFUNCTION("""COMPUTED_VALUE"""),"HUANCARAMA")</f>
        <v>HUANCARAMA</v>
      </c>
      <c r="H267" s="25" t="str">
        <f ca="1">IFERROR(__xludf.DUMMYFUNCTION("""COMPUTED_VALUE"""),"RURAL")</f>
        <v>RURAL</v>
      </c>
      <c r="I267" s="25" t="str">
        <f ca="1">IFERROR(__xludf.DUMMYFUNCTION("""COMPUTED_VALUE"""),"Prioridad 3")</f>
        <v>Prioridad 3</v>
      </c>
      <c r="J267" s="43" t="s">
        <v>262</v>
      </c>
    </row>
    <row r="268" spans="1:10">
      <c r="B268" s="25" t="str">
        <f ca="1">IFERROR(__xludf.DUMMYFUNCTION("""COMPUTED_VALUE"""),"MUNICIPALIDAD DISTRITAL")</f>
        <v>MUNICIPALIDAD DISTRITAL</v>
      </c>
      <c r="C268" s="25" t="str">
        <f ca="1">IFERROR(__xludf.DUMMYFUNCTION("""COMPUTED_VALUE"""),"MUNICIPALIDAD DISTRITAL DE HUANCARAY")</f>
        <v>MUNICIPALIDAD DISTRITAL DE HUANCARAY</v>
      </c>
      <c r="D268" s="25" t="str">
        <f ca="1">IFERROR(__xludf.DUMMYFUNCTION("""COMPUTED_VALUE"""),"CUZCO")</f>
        <v>CUZCO</v>
      </c>
      <c r="E268" s="25" t="str">
        <f ca="1">IFERROR(__xludf.DUMMYFUNCTION("""COMPUTED_VALUE"""),"APURÍMAC")</f>
        <v>APURÍMAC</v>
      </c>
      <c r="F268" s="25" t="str">
        <f ca="1">IFERROR(__xludf.DUMMYFUNCTION("""COMPUTED_VALUE"""),"ANDAHUAYLAS")</f>
        <v>ANDAHUAYLAS</v>
      </c>
      <c r="G268" s="25" t="str">
        <f ca="1">IFERROR(__xludf.DUMMYFUNCTION("""COMPUTED_VALUE"""),"HUANCARAY")</f>
        <v>HUANCARAY</v>
      </c>
      <c r="H268" s="25" t="str">
        <f ca="1">IFERROR(__xludf.DUMMYFUNCTION("""COMPUTED_VALUE"""),"RURAL")</f>
        <v>RURAL</v>
      </c>
      <c r="I268" s="25" t="str">
        <f ca="1">IFERROR(__xludf.DUMMYFUNCTION("""COMPUTED_VALUE"""),"Prioridad 5")</f>
        <v>Prioridad 5</v>
      </c>
      <c r="J268" s="43" t="s">
        <v>262</v>
      </c>
    </row>
    <row r="269" spans="1:10">
      <c r="B269" s="25" t="str">
        <f ca="1">IFERROR(__xludf.DUMMYFUNCTION("""COMPUTED_VALUE"""),"MUNICIPALIDAD DISTRITAL")</f>
        <v>MUNICIPALIDAD DISTRITAL</v>
      </c>
      <c r="C269" s="25" t="str">
        <f ca="1">IFERROR(__xludf.DUMMYFUNCTION("""COMPUTED_VALUE"""),"MUNICIPALIDAD DISTRITAL DE HUAYANA")</f>
        <v>MUNICIPALIDAD DISTRITAL DE HUAYANA</v>
      </c>
      <c r="D269" s="25" t="str">
        <f ca="1">IFERROR(__xludf.DUMMYFUNCTION("""COMPUTED_VALUE"""),"CUZCO")</f>
        <v>CUZCO</v>
      </c>
      <c r="E269" s="25" t="str">
        <f ca="1">IFERROR(__xludf.DUMMYFUNCTION("""COMPUTED_VALUE"""),"APURÍMAC")</f>
        <v>APURÍMAC</v>
      </c>
      <c r="F269" s="25" t="str">
        <f ca="1">IFERROR(__xludf.DUMMYFUNCTION("""COMPUTED_VALUE"""),"ANDAHUAYLAS")</f>
        <v>ANDAHUAYLAS</v>
      </c>
      <c r="G269" s="25" t="str">
        <f ca="1">IFERROR(__xludf.DUMMYFUNCTION("""COMPUTED_VALUE"""),"HUAYANA")</f>
        <v>HUAYANA</v>
      </c>
      <c r="H269" s="25" t="str">
        <f ca="1">IFERROR(__xludf.DUMMYFUNCTION("""COMPUTED_VALUE"""),"RURAL")</f>
        <v>RURAL</v>
      </c>
      <c r="I269" s="25" t="str">
        <f ca="1">IFERROR(__xludf.DUMMYFUNCTION("""COMPUTED_VALUE"""),"Prioridad 4")</f>
        <v>Prioridad 4</v>
      </c>
      <c r="J269" s="43" t="s">
        <v>262</v>
      </c>
    </row>
    <row r="270" spans="1:10">
      <c r="B270" s="25" t="str">
        <f ca="1">IFERROR(__xludf.DUMMYFUNCTION("""COMPUTED_VALUE"""),"MUNICIPALIDAD DISTRITAL")</f>
        <v>MUNICIPALIDAD DISTRITAL</v>
      </c>
      <c r="C270" s="25" t="str">
        <f ca="1">IFERROR(__xludf.DUMMYFUNCTION("""COMPUTED_VALUE"""),"MUNICIPALIDAD DISTRITAL DE JOSE MARIA ARGUEDAS")</f>
        <v>MUNICIPALIDAD DISTRITAL DE JOSE MARIA ARGUEDAS</v>
      </c>
      <c r="D270" s="25" t="str">
        <f ca="1">IFERROR(__xludf.DUMMYFUNCTION("""COMPUTED_VALUE"""),"CUZCO")</f>
        <v>CUZCO</v>
      </c>
      <c r="E270" s="25" t="str">
        <f ca="1">IFERROR(__xludf.DUMMYFUNCTION("""COMPUTED_VALUE"""),"APURÍMAC")</f>
        <v>APURÍMAC</v>
      </c>
      <c r="F270" s="25" t="str">
        <f ca="1">IFERROR(__xludf.DUMMYFUNCTION("""COMPUTED_VALUE"""),"ANDAHUAYLAS")</f>
        <v>ANDAHUAYLAS</v>
      </c>
      <c r="G270" s="25" t="str">
        <f ca="1">IFERROR(__xludf.DUMMYFUNCTION("""COMPUTED_VALUE"""),"JOSE MARIA ARGUEDAS")</f>
        <v>JOSE MARIA ARGUEDAS</v>
      </c>
      <c r="H270" s="25" t="str">
        <f ca="1">IFERROR(__xludf.DUMMYFUNCTION("""COMPUTED_VALUE"""),"URBANO")</f>
        <v>URBANO</v>
      </c>
      <c r="I270" s="25" t="str">
        <f ca="1">IFERROR(__xludf.DUMMYFUNCTION("""COMPUTED_VALUE"""),"Prioridad 2")</f>
        <v>Prioridad 2</v>
      </c>
      <c r="J270" s="43" t="s">
        <v>262</v>
      </c>
    </row>
    <row r="271" spans="1:10">
      <c r="B271" s="25" t="str">
        <f ca="1">IFERROR(__xludf.DUMMYFUNCTION("""COMPUTED_VALUE"""),"MUNICIPALIDAD DISTRITAL")</f>
        <v>MUNICIPALIDAD DISTRITAL</v>
      </c>
      <c r="C271" s="25" t="str">
        <f ca="1">IFERROR(__xludf.DUMMYFUNCTION("""COMPUTED_VALUE"""),"MUNICIPALIDAD DISTRITAL DE KAQUIABAMBA")</f>
        <v>MUNICIPALIDAD DISTRITAL DE KAQUIABAMBA</v>
      </c>
      <c r="D271" s="25" t="str">
        <f ca="1">IFERROR(__xludf.DUMMYFUNCTION("""COMPUTED_VALUE"""),"CUZCO")</f>
        <v>CUZCO</v>
      </c>
      <c r="E271" s="25" t="str">
        <f ca="1">IFERROR(__xludf.DUMMYFUNCTION("""COMPUTED_VALUE"""),"APURÍMAC")</f>
        <v>APURÍMAC</v>
      </c>
      <c r="F271" s="25" t="str">
        <f ca="1">IFERROR(__xludf.DUMMYFUNCTION("""COMPUTED_VALUE"""),"ANDAHUAYLAS")</f>
        <v>ANDAHUAYLAS</v>
      </c>
      <c r="G271" s="25" t="str">
        <f ca="1">IFERROR(__xludf.DUMMYFUNCTION("""COMPUTED_VALUE"""),"KAQUIABAMBA")</f>
        <v>KAQUIABAMBA</v>
      </c>
      <c r="H271" s="25" t="str">
        <f ca="1">IFERROR(__xludf.DUMMYFUNCTION("""COMPUTED_VALUE"""),"RURAL")</f>
        <v>RURAL</v>
      </c>
      <c r="I271" s="25" t="str">
        <f ca="1">IFERROR(__xludf.DUMMYFUNCTION("""COMPUTED_VALUE"""),"Prioridad 5")</f>
        <v>Prioridad 5</v>
      </c>
      <c r="J271" s="43" t="s">
        <v>262</v>
      </c>
    </row>
    <row r="272" spans="1:10">
      <c r="B272" s="25" t="str">
        <f ca="1">IFERROR(__xludf.DUMMYFUNCTION("""COMPUTED_VALUE"""),"MUNICIPALIDAD DISTRITAL")</f>
        <v>MUNICIPALIDAD DISTRITAL</v>
      </c>
      <c r="C272" s="25" t="str">
        <f ca="1">IFERROR(__xludf.DUMMYFUNCTION("""COMPUTED_VALUE"""),"MUNICIPALIDAD DISTRITAL DE KISHUARA")</f>
        <v>MUNICIPALIDAD DISTRITAL DE KISHUARA</v>
      </c>
      <c r="D272" s="25" t="str">
        <f ca="1">IFERROR(__xludf.DUMMYFUNCTION("""COMPUTED_VALUE"""),"CUZCO")</f>
        <v>CUZCO</v>
      </c>
      <c r="E272" s="25" t="str">
        <f ca="1">IFERROR(__xludf.DUMMYFUNCTION("""COMPUTED_VALUE"""),"APURÍMAC")</f>
        <v>APURÍMAC</v>
      </c>
      <c r="F272" s="25" t="str">
        <f ca="1">IFERROR(__xludf.DUMMYFUNCTION("""COMPUTED_VALUE"""),"ANDAHUAYLAS")</f>
        <v>ANDAHUAYLAS</v>
      </c>
      <c r="G272" s="25" t="str">
        <f ca="1">IFERROR(__xludf.DUMMYFUNCTION("""COMPUTED_VALUE"""),"KISHUARA")</f>
        <v>KISHUARA</v>
      </c>
      <c r="H272" s="25" t="str">
        <f ca="1">IFERROR(__xludf.DUMMYFUNCTION("""COMPUTED_VALUE"""),"RURAL")</f>
        <v>RURAL</v>
      </c>
      <c r="I272" s="25" t="str">
        <f ca="1">IFERROR(__xludf.DUMMYFUNCTION("""COMPUTED_VALUE"""),"Prioridad 5")</f>
        <v>Prioridad 5</v>
      </c>
      <c r="J272" s="43" t="s">
        <v>262</v>
      </c>
    </row>
    <row r="273" spans="2:10">
      <c r="B273" s="25" t="str">
        <f ca="1">IFERROR(__xludf.DUMMYFUNCTION("""COMPUTED_VALUE"""),"MUNICIPALIDAD DISTRITAL")</f>
        <v>MUNICIPALIDAD DISTRITAL</v>
      </c>
      <c r="C273" s="25" t="str">
        <f ca="1">IFERROR(__xludf.DUMMYFUNCTION("""COMPUTED_VALUE"""),"MUNICIPALIDAD DISTRITAL DE PACOBAMBA")</f>
        <v>MUNICIPALIDAD DISTRITAL DE PACOBAMBA</v>
      </c>
      <c r="D273" s="25" t="str">
        <f ca="1">IFERROR(__xludf.DUMMYFUNCTION("""COMPUTED_VALUE"""),"CUZCO")</f>
        <v>CUZCO</v>
      </c>
      <c r="E273" s="25" t="str">
        <f ca="1">IFERROR(__xludf.DUMMYFUNCTION("""COMPUTED_VALUE"""),"APURÍMAC")</f>
        <v>APURÍMAC</v>
      </c>
      <c r="F273" s="25" t="str">
        <f ca="1">IFERROR(__xludf.DUMMYFUNCTION("""COMPUTED_VALUE"""),"ANDAHUAYLAS")</f>
        <v>ANDAHUAYLAS</v>
      </c>
      <c r="G273" s="25" t="str">
        <f ca="1">IFERROR(__xludf.DUMMYFUNCTION("""COMPUTED_VALUE"""),"PACOBAMBA")</f>
        <v>PACOBAMBA</v>
      </c>
      <c r="H273" s="25" t="str">
        <f ca="1">IFERROR(__xludf.DUMMYFUNCTION("""COMPUTED_VALUE"""),"RURAL")</f>
        <v>RURAL</v>
      </c>
      <c r="I273" s="25" t="str">
        <f ca="1">IFERROR(__xludf.DUMMYFUNCTION("""COMPUTED_VALUE"""),"Prioridad 5")</f>
        <v>Prioridad 5</v>
      </c>
      <c r="J273" s="43" t="s">
        <v>262</v>
      </c>
    </row>
    <row r="274" spans="2:10">
      <c r="B274" s="25" t="str">
        <f ca="1">IFERROR(__xludf.DUMMYFUNCTION("""COMPUTED_VALUE"""),"MUNICIPALIDAD DISTRITAL")</f>
        <v>MUNICIPALIDAD DISTRITAL</v>
      </c>
      <c r="C274" s="25" t="str">
        <f ca="1">IFERROR(__xludf.DUMMYFUNCTION("""COMPUTED_VALUE"""),"MUNICIPALIDAD DISTRITAL DE PACUCHA")</f>
        <v>MUNICIPALIDAD DISTRITAL DE PACUCHA</v>
      </c>
      <c r="D274" s="25" t="str">
        <f ca="1">IFERROR(__xludf.DUMMYFUNCTION("""COMPUTED_VALUE"""),"CUZCO")</f>
        <v>CUZCO</v>
      </c>
      <c r="E274" s="25" t="str">
        <f ca="1">IFERROR(__xludf.DUMMYFUNCTION("""COMPUTED_VALUE"""),"APURÍMAC")</f>
        <v>APURÍMAC</v>
      </c>
      <c r="F274" s="25" t="str">
        <f ca="1">IFERROR(__xludf.DUMMYFUNCTION("""COMPUTED_VALUE"""),"ANDAHUAYLAS")</f>
        <v>ANDAHUAYLAS</v>
      </c>
      <c r="G274" s="25" t="str">
        <f ca="1">IFERROR(__xludf.DUMMYFUNCTION("""COMPUTED_VALUE"""),"PACUCHA")</f>
        <v>PACUCHA</v>
      </c>
      <c r="H274" s="25" t="str">
        <f ca="1">IFERROR(__xludf.DUMMYFUNCTION("""COMPUTED_VALUE"""),"RURAL")</f>
        <v>RURAL</v>
      </c>
      <c r="I274" s="25" t="str">
        <f ca="1">IFERROR(__xludf.DUMMYFUNCTION("""COMPUTED_VALUE"""),"Prioridad 4")</f>
        <v>Prioridad 4</v>
      </c>
      <c r="J274" s="43" t="s">
        <v>262</v>
      </c>
    </row>
    <row r="275" spans="2:10">
      <c r="B275" s="25" t="str">
        <f ca="1">IFERROR(__xludf.DUMMYFUNCTION("""COMPUTED_VALUE"""),"MUNICIPALIDAD DISTRITAL")</f>
        <v>MUNICIPALIDAD DISTRITAL</v>
      </c>
      <c r="C275" s="25" t="str">
        <f ca="1">IFERROR(__xludf.DUMMYFUNCTION("""COMPUTED_VALUE"""),"MUNICIPALIDAD DISTRITAL DE PAMPACHIRI")</f>
        <v>MUNICIPALIDAD DISTRITAL DE PAMPACHIRI</v>
      </c>
      <c r="D275" s="25" t="str">
        <f ca="1">IFERROR(__xludf.DUMMYFUNCTION("""COMPUTED_VALUE"""),"CUZCO")</f>
        <v>CUZCO</v>
      </c>
      <c r="E275" s="25" t="str">
        <f ca="1">IFERROR(__xludf.DUMMYFUNCTION("""COMPUTED_VALUE"""),"APURÍMAC")</f>
        <v>APURÍMAC</v>
      </c>
      <c r="F275" s="25" t="str">
        <f ca="1">IFERROR(__xludf.DUMMYFUNCTION("""COMPUTED_VALUE"""),"ANDAHUAYLAS")</f>
        <v>ANDAHUAYLAS</v>
      </c>
      <c r="G275" s="25" t="str">
        <f ca="1">IFERROR(__xludf.DUMMYFUNCTION("""COMPUTED_VALUE"""),"PAMPACHIRI")</f>
        <v>PAMPACHIRI</v>
      </c>
      <c r="H275" s="25" t="str">
        <f ca="1">IFERROR(__xludf.DUMMYFUNCTION("""COMPUTED_VALUE"""),"RURAL")</f>
        <v>RURAL</v>
      </c>
      <c r="I275" s="25" t="str">
        <f ca="1">IFERROR(__xludf.DUMMYFUNCTION("""COMPUTED_VALUE"""),"Prioridad 3")</f>
        <v>Prioridad 3</v>
      </c>
      <c r="J275" s="43" t="s">
        <v>262</v>
      </c>
    </row>
    <row r="276" spans="2:10">
      <c r="B276" s="25" t="str">
        <f ca="1">IFERROR(__xludf.DUMMYFUNCTION("""COMPUTED_VALUE"""),"MUNICIPALIDAD DISTRITAL")</f>
        <v>MUNICIPALIDAD DISTRITAL</v>
      </c>
      <c r="C276" s="25" t="str">
        <f ca="1">IFERROR(__xludf.DUMMYFUNCTION("""COMPUTED_VALUE"""),"MUNICIPALIDAD DISTRITAL DE POMACOCHA EN ANDAHUAYLAS")</f>
        <v>MUNICIPALIDAD DISTRITAL DE POMACOCHA EN ANDAHUAYLAS</v>
      </c>
      <c r="D276" s="25" t="str">
        <f ca="1">IFERROR(__xludf.DUMMYFUNCTION("""COMPUTED_VALUE"""),"CUZCO")</f>
        <v>CUZCO</v>
      </c>
      <c r="E276" s="25" t="str">
        <f ca="1">IFERROR(__xludf.DUMMYFUNCTION("""COMPUTED_VALUE"""),"APURÍMAC")</f>
        <v>APURÍMAC</v>
      </c>
      <c r="F276" s="25" t="str">
        <f ca="1">IFERROR(__xludf.DUMMYFUNCTION("""COMPUTED_VALUE"""),"ANDAHUAYLAS")</f>
        <v>ANDAHUAYLAS</v>
      </c>
      <c r="G276" s="25" t="str">
        <f ca="1">IFERROR(__xludf.DUMMYFUNCTION("""COMPUTED_VALUE"""),"POMACOCHA")</f>
        <v>POMACOCHA</v>
      </c>
      <c r="H276" s="25" t="str">
        <f ca="1">IFERROR(__xludf.DUMMYFUNCTION("""COMPUTED_VALUE"""),"RURAL")</f>
        <v>RURAL</v>
      </c>
      <c r="I276" s="25" t="str">
        <f ca="1">IFERROR(__xludf.DUMMYFUNCTION("""COMPUTED_VALUE"""),"Prioridad 4")</f>
        <v>Prioridad 4</v>
      </c>
      <c r="J276" s="43" t="s">
        <v>262</v>
      </c>
    </row>
    <row r="277" spans="2:10">
      <c r="B277" s="25" t="str">
        <f ca="1">IFERROR(__xludf.DUMMYFUNCTION("""COMPUTED_VALUE"""),"MUNICIPALIDAD DISTRITAL")</f>
        <v>MUNICIPALIDAD DISTRITAL</v>
      </c>
      <c r="C277" s="25" t="str">
        <f ca="1">IFERROR(__xludf.DUMMYFUNCTION("""COMPUTED_VALUE"""),"MUNICIPALIDAD DISTRITAL DE SAN ANTONIO DE CACHI")</f>
        <v>MUNICIPALIDAD DISTRITAL DE SAN ANTONIO DE CACHI</v>
      </c>
      <c r="D277" s="25" t="str">
        <f ca="1">IFERROR(__xludf.DUMMYFUNCTION("""COMPUTED_VALUE"""),"CUZCO")</f>
        <v>CUZCO</v>
      </c>
      <c r="E277" s="25" t="str">
        <f ca="1">IFERROR(__xludf.DUMMYFUNCTION("""COMPUTED_VALUE"""),"APURÍMAC")</f>
        <v>APURÍMAC</v>
      </c>
      <c r="F277" s="25" t="str">
        <f ca="1">IFERROR(__xludf.DUMMYFUNCTION("""COMPUTED_VALUE"""),"ANDAHUAYLAS")</f>
        <v>ANDAHUAYLAS</v>
      </c>
      <c r="G277" s="25" t="str">
        <f ca="1">IFERROR(__xludf.DUMMYFUNCTION("""COMPUTED_VALUE"""),"SAN ANTONIO DE CACHI")</f>
        <v>SAN ANTONIO DE CACHI</v>
      </c>
      <c r="H277" s="25" t="str">
        <f ca="1">IFERROR(__xludf.DUMMYFUNCTION("""COMPUTED_VALUE"""),"RURAL")</f>
        <v>RURAL</v>
      </c>
      <c r="I277" s="25" t="str">
        <f ca="1">IFERROR(__xludf.DUMMYFUNCTION("""COMPUTED_VALUE"""),"Prioridad 4")</f>
        <v>Prioridad 4</v>
      </c>
      <c r="J277" s="43" t="s">
        <v>262</v>
      </c>
    </row>
    <row r="278" spans="2:10">
      <c r="B278" s="25" t="str">
        <f ca="1">IFERROR(__xludf.DUMMYFUNCTION("""COMPUTED_VALUE"""),"MUNICIPALIDAD DISTRITAL")</f>
        <v>MUNICIPALIDAD DISTRITAL</v>
      </c>
      <c r="C278" s="25" t="str">
        <f ca="1">IFERROR(__xludf.DUMMYFUNCTION("""COMPUTED_VALUE"""),"MUNICIPALIDAD DISTRITAL DE SAN JERONIMO EN ANDAHUAYLAS")</f>
        <v>MUNICIPALIDAD DISTRITAL DE SAN JERONIMO EN ANDAHUAYLAS</v>
      </c>
      <c r="D278" s="25" t="str">
        <f ca="1">IFERROR(__xludf.DUMMYFUNCTION("""COMPUTED_VALUE"""),"CUZCO")</f>
        <v>CUZCO</v>
      </c>
      <c r="E278" s="25" t="str">
        <f ca="1">IFERROR(__xludf.DUMMYFUNCTION("""COMPUTED_VALUE"""),"APURÍMAC")</f>
        <v>APURÍMAC</v>
      </c>
      <c r="F278" s="25" t="str">
        <f ca="1">IFERROR(__xludf.DUMMYFUNCTION("""COMPUTED_VALUE"""),"ANDAHUAYLAS")</f>
        <v>ANDAHUAYLAS</v>
      </c>
      <c r="G278" s="25" t="str">
        <f ca="1">IFERROR(__xludf.DUMMYFUNCTION("""COMPUTED_VALUE"""),"SAN JERONIMO")</f>
        <v>SAN JERONIMO</v>
      </c>
      <c r="H278" s="25" t="str">
        <f ca="1">IFERROR(__xludf.DUMMYFUNCTION("""COMPUTED_VALUE"""),"URBANO")</f>
        <v>URBANO</v>
      </c>
      <c r="I278" s="25" t="str">
        <f ca="1">IFERROR(__xludf.DUMMYFUNCTION("""COMPUTED_VALUE"""),"Prioridad 1")</f>
        <v>Prioridad 1</v>
      </c>
      <c r="J278" s="43" t="s">
        <v>262</v>
      </c>
    </row>
    <row r="279" spans="2:10">
      <c r="B279" s="25" t="str">
        <f ca="1">IFERROR(__xludf.DUMMYFUNCTION("""COMPUTED_VALUE"""),"MUNICIPALIDAD DISTRITAL")</f>
        <v>MUNICIPALIDAD DISTRITAL</v>
      </c>
      <c r="C279" s="25" t="str">
        <f ca="1">IFERROR(__xludf.DUMMYFUNCTION("""COMPUTED_VALUE"""),"MUNICIPALIDAD DISTRITAL DE SAN MIGUEL DE CHACCRAMPA")</f>
        <v>MUNICIPALIDAD DISTRITAL DE SAN MIGUEL DE CHACCRAMPA</v>
      </c>
      <c r="D279" s="25" t="str">
        <f ca="1">IFERROR(__xludf.DUMMYFUNCTION("""COMPUTED_VALUE"""),"CUZCO")</f>
        <v>CUZCO</v>
      </c>
      <c r="E279" s="25" t="str">
        <f ca="1">IFERROR(__xludf.DUMMYFUNCTION("""COMPUTED_VALUE"""),"APURÍMAC")</f>
        <v>APURÍMAC</v>
      </c>
      <c r="F279" s="25" t="str">
        <f ca="1">IFERROR(__xludf.DUMMYFUNCTION("""COMPUTED_VALUE"""),"ANDAHUAYLAS")</f>
        <v>ANDAHUAYLAS</v>
      </c>
      <c r="G279" s="25" t="str">
        <f ca="1">IFERROR(__xludf.DUMMYFUNCTION("""COMPUTED_VALUE"""),"SAN MIGUEL DE CHACCRAMPA")</f>
        <v>SAN MIGUEL DE CHACCRAMPA</v>
      </c>
      <c r="H279" s="25" t="str">
        <f ca="1">IFERROR(__xludf.DUMMYFUNCTION("""COMPUTED_VALUE"""),"RURAL")</f>
        <v>RURAL</v>
      </c>
      <c r="I279" s="25" t="str">
        <f ca="1">IFERROR(__xludf.DUMMYFUNCTION("""COMPUTED_VALUE"""),"Prioridad 4")</f>
        <v>Prioridad 4</v>
      </c>
      <c r="J279" s="43" t="s">
        <v>262</v>
      </c>
    </row>
    <row r="280" spans="2:10">
      <c r="B280" s="25" t="str">
        <f ca="1">IFERROR(__xludf.DUMMYFUNCTION("""COMPUTED_VALUE"""),"MUNICIPALIDAD DISTRITAL")</f>
        <v>MUNICIPALIDAD DISTRITAL</v>
      </c>
      <c r="C280" s="25" t="str">
        <f ca="1">IFERROR(__xludf.DUMMYFUNCTION("""COMPUTED_VALUE"""),"MUNICIPALIDAD DISTRITAL DE SANTA MARIA DE CHICMO")</f>
        <v>MUNICIPALIDAD DISTRITAL DE SANTA MARIA DE CHICMO</v>
      </c>
      <c r="D280" s="25" t="str">
        <f ca="1">IFERROR(__xludf.DUMMYFUNCTION("""COMPUTED_VALUE"""),"CUZCO")</f>
        <v>CUZCO</v>
      </c>
      <c r="E280" s="25" t="str">
        <f ca="1">IFERROR(__xludf.DUMMYFUNCTION("""COMPUTED_VALUE"""),"APURÍMAC")</f>
        <v>APURÍMAC</v>
      </c>
      <c r="F280" s="25" t="str">
        <f ca="1">IFERROR(__xludf.DUMMYFUNCTION("""COMPUTED_VALUE"""),"ANDAHUAYLAS")</f>
        <v>ANDAHUAYLAS</v>
      </c>
      <c r="G280" s="25" t="str">
        <f ca="1">IFERROR(__xludf.DUMMYFUNCTION("""COMPUTED_VALUE"""),"SANTA MARIA DE CHICMO")</f>
        <v>SANTA MARIA DE CHICMO</v>
      </c>
      <c r="H280" s="25" t="str">
        <f ca="1">IFERROR(__xludf.DUMMYFUNCTION("""COMPUTED_VALUE"""),"RURAL")</f>
        <v>RURAL</v>
      </c>
      <c r="I280" s="25" t="str">
        <f ca="1">IFERROR(__xludf.DUMMYFUNCTION("""COMPUTED_VALUE"""),"Prioridad 3")</f>
        <v>Prioridad 3</v>
      </c>
      <c r="J280" s="43" t="s">
        <v>262</v>
      </c>
    </row>
    <row r="281" spans="2:10">
      <c r="B281" s="25" t="str">
        <f ca="1">IFERROR(__xludf.DUMMYFUNCTION("""COMPUTED_VALUE"""),"MUNICIPALIDAD DISTRITAL")</f>
        <v>MUNICIPALIDAD DISTRITAL</v>
      </c>
      <c r="C281" s="25" t="str">
        <f ca="1">IFERROR(__xludf.DUMMYFUNCTION("""COMPUTED_VALUE"""),"MUNICIPALIDAD DISTRITAL DE TALAVERA")</f>
        <v>MUNICIPALIDAD DISTRITAL DE TALAVERA</v>
      </c>
      <c r="D281" s="25" t="str">
        <f ca="1">IFERROR(__xludf.DUMMYFUNCTION("""COMPUTED_VALUE"""),"CUZCO")</f>
        <v>CUZCO</v>
      </c>
      <c r="E281" s="25" t="str">
        <f ca="1">IFERROR(__xludf.DUMMYFUNCTION("""COMPUTED_VALUE"""),"APURÍMAC")</f>
        <v>APURÍMAC</v>
      </c>
      <c r="F281" s="25" t="str">
        <f ca="1">IFERROR(__xludf.DUMMYFUNCTION("""COMPUTED_VALUE"""),"ANDAHUAYLAS")</f>
        <v>ANDAHUAYLAS</v>
      </c>
      <c r="G281" s="25" t="str">
        <f ca="1">IFERROR(__xludf.DUMMYFUNCTION("""COMPUTED_VALUE"""),"TALAVERA")</f>
        <v>TALAVERA</v>
      </c>
      <c r="H281" s="25" t="str">
        <f ca="1">IFERROR(__xludf.DUMMYFUNCTION("""COMPUTED_VALUE"""),"URBANO")</f>
        <v>URBANO</v>
      </c>
      <c r="I281" s="25" t="str">
        <f ca="1">IFERROR(__xludf.DUMMYFUNCTION("""COMPUTED_VALUE"""),"Prioridad 1")</f>
        <v>Prioridad 1</v>
      </c>
      <c r="J281" s="43" t="s">
        <v>262</v>
      </c>
    </row>
    <row r="282" spans="2:10">
      <c r="B282" s="25" t="str">
        <f ca="1">IFERROR(__xludf.DUMMYFUNCTION("""COMPUTED_VALUE"""),"MUNICIPALIDAD DISTRITAL")</f>
        <v>MUNICIPALIDAD DISTRITAL</v>
      </c>
      <c r="C282" s="25" t="str">
        <f ca="1">IFERROR(__xludf.DUMMYFUNCTION("""COMPUTED_VALUE"""),"MUNICIPALIDAD DISTRITAL DE TUMAY HUARACA")</f>
        <v>MUNICIPALIDAD DISTRITAL DE TUMAY HUARACA</v>
      </c>
      <c r="D282" s="25" t="str">
        <f ca="1">IFERROR(__xludf.DUMMYFUNCTION("""COMPUTED_VALUE"""),"CUZCO")</f>
        <v>CUZCO</v>
      </c>
      <c r="E282" s="25" t="str">
        <f ca="1">IFERROR(__xludf.DUMMYFUNCTION("""COMPUTED_VALUE"""),"APURÍMAC")</f>
        <v>APURÍMAC</v>
      </c>
      <c r="F282" s="25" t="str">
        <f ca="1">IFERROR(__xludf.DUMMYFUNCTION("""COMPUTED_VALUE"""),"ANDAHUAYLAS")</f>
        <v>ANDAHUAYLAS</v>
      </c>
      <c r="G282" s="25" t="str">
        <f ca="1">IFERROR(__xludf.DUMMYFUNCTION("""COMPUTED_VALUE"""),"TUMAY HUARACA")</f>
        <v>TUMAY HUARACA</v>
      </c>
      <c r="H282" s="25" t="str">
        <f ca="1">IFERROR(__xludf.DUMMYFUNCTION("""COMPUTED_VALUE"""),"RURAL")</f>
        <v>RURAL</v>
      </c>
      <c r="I282" s="25" t="str">
        <f ca="1">IFERROR(__xludf.DUMMYFUNCTION("""COMPUTED_VALUE"""),"Prioridad 5")</f>
        <v>Prioridad 5</v>
      </c>
      <c r="J282" s="43" t="s">
        <v>262</v>
      </c>
    </row>
    <row r="283" spans="2:10">
      <c r="B283" s="25" t="str">
        <f ca="1">IFERROR(__xludf.DUMMYFUNCTION("""COMPUTED_VALUE"""),"MUNICIPALIDAD DISTRITAL")</f>
        <v>MUNICIPALIDAD DISTRITAL</v>
      </c>
      <c r="C283" s="25" t="str">
        <f ca="1">IFERROR(__xludf.DUMMYFUNCTION("""COMPUTED_VALUE"""),"MUNICIPALIDAD DISTRITAL DE TURPO")</f>
        <v>MUNICIPALIDAD DISTRITAL DE TURPO</v>
      </c>
      <c r="D283" s="25" t="str">
        <f ca="1">IFERROR(__xludf.DUMMYFUNCTION("""COMPUTED_VALUE"""),"CUZCO")</f>
        <v>CUZCO</v>
      </c>
      <c r="E283" s="25" t="str">
        <f ca="1">IFERROR(__xludf.DUMMYFUNCTION("""COMPUTED_VALUE"""),"APURÍMAC")</f>
        <v>APURÍMAC</v>
      </c>
      <c r="F283" s="25" t="str">
        <f ca="1">IFERROR(__xludf.DUMMYFUNCTION("""COMPUTED_VALUE"""),"ANDAHUAYLAS")</f>
        <v>ANDAHUAYLAS</v>
      </c>
      <c r="G283" s="25" t="str">
        <f ca="1">IFERROR(__xludf.DUMMYFUNCTION("""COMPUTED_VALUE"""),"TURPO")</f>
        <v>TURPO</v>
      </c>
      <c r="H283" s="25" t="str">
        <f ca="1">IFERROR(__xludf.DUMMYFUNCTION("""COMPUTED_VALUE"""),"RURAL")</f>
        <v>RURAL</v>
      </c>
      <c r="I283" s="25" t="str">
        <f ca="1">IFERROR(__xludf.DUMMYFUNCTION("""COMPUTED_VALUE"""),"Prioridad 5")</f>
        <v>Prioridad 5</v>
      </c>
      <c r="J283" s="43" t="s">
        <v>262</v>
      </c>
    </row>
    <row r="284" spans="2:10">
      <c r="B284" s="25" t="str">
        <f ca="1">IFERROR(__xludf.DUMMYFUNCTION("""COMPUTED_VALUE"""),"MUNICIPALIDAD PROVINCIAL")</f>
        <v>MUNICIPALIDAD PROVINCIAL</v>
      </c>
      <c r="C284" s="25" t="str">
        <f ca="1">IFERROR(__xludf.DUMMYFUNCTION("""COMPUTED_VALUE"""),"MUNICIPALIDAD PROVINCIAL DE ANTABAMBA")</f>
        <v>MUNICIPALIDAD PROVINCIAL DE ANTABAMBA</v>
      </c>
      <c r="D284" s="25" t="str">
        <f ca="1">IFERROR(__xludf.DUMMYFUNCTION("""COMPUTED_VALUE"""),"CUZCO")</f>
        <v>CUZCO</v>
      </c>
      <c r="E284" s="25" t="str">
        <f ca="1">IFERROR(__xludf.DUMMYFUNCTION("""COMPUTED_VALUE"""),"APURÍMAC")</f>
        <v>APURÍMAC</v>
      </c>
      <c r="F284" s="25" t="str">
        <f ca="1">IFERROR(__xludf.DUMMYFUNCTION("""COMPUTED_VALUE"""),"ANTABAMBA")</f>
        <v>ANTABAMBA</v>
      </c>
      <c r="G284" s="25" t="str">
        <f ca="1">IFERROR(__xludf.DUMMYFUNCTION("""COMPUTED_VALUE"""),"ANTABAMBA")</f>
        <v>ANTABAMBA</v>
      </c>
      <c r="H284" s="25" t="str">
        <f ca="1">IFERROR(__xludf.DUMMYFUNCTION("""COMPUTED_VALUE"""),"RURAL")</f>
        <v>RURAL</v>
      </c>
      <c r="I284" s="25" t="str">
        <f ca="1">IFERROR(__xludf.DUMMYFUNCTION("""COMPUTED_VALUE"""),"Prioridad 1")</f>
        <v>Prioridad 1</v>
      </c>
      <c r="J284" s="43" t="s">
        <v>262</v>
      </c>
    </row>
    <row r="285" spans="2:10">
      <c r="B285" s="25" t="str">
        <f ca="1">IFERROR(__xludf.DUMMYFUNCTION("""COMPUTED_VALUE"""),"MUNICIPALIDAD DISTRITAL")</f>
        <v>MUNICIPALIDAD DISTRITAL</v>
      </c>
      <c r="C285" s="25" t="str">
        <f ca="1">IFERROR(__xludf.DUMMYFUNCTION("""COMPUTED_VALUE"""),"MUNICIPALIDAD DISTRITAL DE EL ORO")</f>
        <v>MUNICIPALIDAD DISTRITAL DE EL ORO</v>
      </c>
      <c r="D285" s="25" t="str">
        <f ca="1">IFERROR(__xludf.DUMMYFUNCTION("""COMPUTED_VALUE"""),"CUZCO")</f>
        <v>CUZCO</v>
      </c>
      <c r="E285" s="25" t="str">
        <f ca="1">IFERROR(__xludf.DUMMYFUNCTION("""COMPUTED_VALUE"""),"APURÍMAC")</f>
        <v>APURÍMAC</v>
      </c>
      <c r="F285" s="25" t="str">
        <f ca="1">IFERROR(__xludf.DUMMYFUNCTION("""COMPUTED_VALUE"""),"ANTABAMBA")</f>
        <v>ANTABAMBA</v>
      </c>
      <c r="G285" s="25" t="str">
        <f ca="1">IFERROR(__xludf.DUMMYFUNCTION("""COMPUTED_VALUE"""),"EL ORO")</f>
        <v>EL ORO</v>
      </c>
      <c r="H285" s="25" t="str">
        <f ca="1">IFERROR(__xludf.DUMMYFUNCTION("""COMPUTED_VALUE"""),"RURAL")</f>
        <v>RURAL</v>
      </c>
      <c r="I285" s="25" t="str">
        <f ca="1">IFERROR(__xludf.DUMMYFUNCTION("""COMPUTED_VALUE"""),"Prioridad 2")</f>
        <v>Prioridad 2</v>
      </c>
      <c r="J285" s="43" t="s">
        <v>262</v>
      </c>
    </row>
    <row r="286" spans="2:10">
      <c r="B286" s="25" t="str">
        <f ca="1">IFERROR(__xludf.DUMMYFUNCTION("""COMPUTED_VALUE"""),"MUNICIPALIDAD DISTRITAL")</f>
        <v>MUNICIPALIDAD DISTRITAL</v>
      </c>
      <c r="C286" s="25" t="str">
        <f ca="1">IFERROR(__xludf.DUMMYFUNCTION("""COMPUTED_VALUE"""),"MUNICIPALIDAD DISTRITAL DE HUAQUIRCA")</f>
        <v>MUNICIPALIDAD DISTRITAL DE HUAQUIRCA</v>
      </c>
      <c r="D286" s="25" t="str">
        <f ca="1">IFERROR(__xludf.DUMMYFUNCTION("""COMPUTED_VALUE"""),"CUZCO")</f>
        <v>CUZCO</v>
      </c>
      <c r="E286" s="25" t="str">
        <f ca="1">IFERROR(__xludf.DUMMYFUNCTION("""COMPUTED_VALUE"""),"APURÍMAC")</f>
        <v>APURÍMAC</v>
      </c>
      <c r="F286" s="25" t="str">
        <f ca="1">IFERROR(__xludf.DUMMYFUNCTION("""COMPUTED_VALUE"""),"ANTABAMBA")</f>
        <v>ANTABAMBA</v>
      </c>
      <c r="G286" s="25" t="str">
        <f ca="1">IFERROR(__xludf.DUMMYFUNCTION("""COMPUTED_VALUE"""),"HUAQUIRCA")</f>
        <v>HUAQUIRCA</v>
      </c>
      <c r="H286" s="25" t="str">
        <f ca="1">IFERROR(__xludf.DUMMYFUNCTION("""COMPUTED_VALUE"""),"RURAL")</f>
        <v>RURAL</v>
      </c>
      <c r="I286" s="25" t="str">
        <f ca="1">IFERROR(__xludf.DUMMYFUNCTION("""COMPUTED_VALUE"""),"Prioridad 3")</f>
        <v>Prioridad 3</v>
      </c>
      <c r="J286" s="43" t="s">
        <v>262</v>
      </c>
    </row>
    <row r="287" spans="2:10">
      <c r="B287" s="25" t="str">
        <f ca="1">IFERROR(__xludf.DUMMYFUNCTION("""COMPUTED_VALUE"""),"MUNICIPALIDAD DISTRITAL")</f>
        <v>MUNICIPALIDAD DISTRITAL</v>
      </c>
      <c r="C287" s="25" t="str">
        <f ca="1">IFERROR(__xludf.DUMMYFUNCTION("""COMPUTED_VALUE"""),"MUNICIPALIDAD DISTRITAL DE JUAN ESPINOZA MEDRANO")</f>
        <v>MUNICIPALIDAD DISTRITAL DE JUAN ESPINOZA MEDRANO</v>
      </c>
      <c r="D287" s="25" t="str">
        <f ca="1">IFERROR(__xludf.DUMMYFUNCTION("""COMPUTED_VALUE"""),"CUZCO")</f>
        <v>CUZCO</v>
      </c>
      <c r="E287" s="25" t="str">
        <f ca="1">IFERROR(__xludf.DUMMYFUNCTION("""COMPUTED_VALUE"""),"APURÍMAC")</f>
        <v>APURÍMAC</v>
      </c>
      <c r="F287" s="25" t="str">
        <f ca="1">IFERROR(__xludf.DUMMYFUNCTION("""COMPUTED_VALUE"""),"ANTABAMBA")</f>
        <v>ANTABAMBA</v>
      </c>
      <c r="G287" s="25" t="str">
        <f ca="1">IFERROR(__xludf.DUMMYFUNCTION("""COMPUTED_VALUE"""),"JUAN ESPINOZA MEDRANO")</f>
        <v>JUAN ESPINOZA MEDRANO</v>
      </c>
      <c r="H287" s="25" t="str">
        <f ca="1">IFERROR(__xludf.DUMMYFUNCTION("""COMPUTED_VALUE"""),"RURAL")</f>
        <v>RURAL</v>
      </c>
      <c r="I287" s="25" t="str">
        <f ca="1">IFERROR(__xludf.DUMMYFUNCTION("""COMPUTED_VALUE"""),"Prioridad 2")</f>
        <v>Prioridad 2</v>
      </c>
      <c r="J287" s="43" t="s">
        <v>262</v>
      </c>
    </row>
    <row r="288" spans="2:10">
      <c r="B288" s="25" t="str">
        <f ca="1">IFERROR(__xludf.DUMMYFUNCTION("""COMPUTED_VALUE"""),"MUNICIPALIDAD DISTRITAL")</f>
        <v>MUNICIPALIDAD DISTRITAL</v>
      </c>
      <c r="C288" s="25" t="str">
        <f ca="1">IFERROR(__xludf.DUMMYFUNCTION("""COMPUTED_VALUE"""),"MUNICIPALIDAD DISTRITAL DE OROPESA EN ANTABAMBA")</f>
        <v>MUNICIPALIDAD DISTRITAL DE OROPESA EN ANTABAMBA</v>
      </c>
      <c r="D288" s="25" t="str">
        <f ca="1">IFERROR(__xludf.DUMMYFUNCTION("""COMPUTED_VALUE"""),"CUZCO")</f>
        <v>CUZCO</v>
      </c>
      <c r="E288" s="25" t="str">
        <f ca="1">IFERROR(__xludf.DUMMYFUNCTION("""COMPUTED_VALUE"""),"APURÍMAC")</f>
        <v>APURÍMAC</v>
      </c>
      <c r="F288" s="25" t="str">
        <f ca="1">IFERROR(__xludf.DUMMYFUNCTION("""COMPUTED_VALUE"""),"ANTABAMBA")</f>
        <v>ANTABAMBA</v>
      </c>
      <c r="G288" s="25" t="str">
        <f ca="1">IFERROR(__xludf.DUMMYFUNCTION("""COMPUTED_VALUE"""),"OROPESA")</f>
        <v>OROPESA</v>
      </c>
      <c r="H288" s="25" t="str">
        <f ca="1">IFERROR(__xludf.DUMMYFUNCTION("""COMPUTED_VALUE"""),"RURAL")</f>
        <v>RURAL</v>
      </c>
      <c r="I288" s="25" t="str">
        <f ca="1">IFERROR(__xludf.DUMMYFUNCTION("""COMPUTED_VALUE"""),"Prioridad 2")</f>
        <v>Prioridad 2</v>
      </c>
      <c r="J288" s="43" t="s">
        <v>262</v>
      </c>
    </row>
    <row r="289" spans="2:10">
      <c r="B289" s="25" t="str">
        <f ca="1">IFERROR(__xludf.DUMMYFUNCTION("""COMPUTED_VALUE"""),"MUNICIPALIDAD DISTRITAL")</f>
        <v>MUNICIPALIDAD DISTRITAL</v>
      </c>
      <c r="C289" s="25" t="str">
        <f ca="1">IFERROR(__xludf.DUMMYFUNCTION("""COMPUTED_VALUE"""),"MUNICIPALIDAD DISTRITAL DE PACHACONAS")</f>
        <v>MUNICIPALIDAD DISTRITAL DE PACHACONAS</v>
      </c>
      <c r="D289" s="25" t="str">
        <f ca="1">IFERROR(__xludf.DUMMYFUNCTION("""COMPUTED_VALUE"""),"CUZCO")</f>
        <v>CUZCO</v>
      </c>
      <c r="E289" s="25" t="str">
        <f ca="1">IFERROR(__xludf.DUMMYFUNCTION("""COMPUTED_VALUE"""),"APURÍMAC")</f>
        <v>APURÍMAC</v>
      </c>
      <c r="F289" s="25" t="str">
        <f ca="1">IFERROR(__xludf.DUMMYFUNCTION("""COMPUTED_VALUE"""),"ANTABAMBA")</f>
        <v>ANTABAMBA</v>
      </c>
      <c r="G289" s="25" t="str">
        <f ca="1">IFERROR(__xludf.DUMMYFUNCTION("""COMPUTED_VALUE"""),"PACHACONAS")</f>
        <v>PACHACONAS</v>
      </c>
      <c r="H289" s="25" t="str">
        <f ca="1">IFERROR(__xludf.DUMMYFUNCTION("""COMPUTED_VALUE"""),"RURAL")</f>
        <v>RURAL</v>
      </c>
      <c r="I289" s="25" t="str">
        <f ca="1">IFERROR(__xludf.DUMMYFUNCTION("""COMPUTED_VALUE"""),"Prioridad 2")</f>
        <v>Prioridad 2</v>
      </c>
      <c r="J289" s="43" t="s">
        <v>262</v>
      </c>
    </row>
    <row r="290" spans="2:10">
      <c r="B290" s="25" t="str">
        <f ca="1">IFERROR(__xludf.DUMMYFUNCTION("""COMPUTED_VALUE"""),"MUNICIPALIDAD DISTRITAL")</f>
        <v>MUNICIPALIDAD DISTRITAL</v>
      </c>
      <c r="C290" s="25" t="str">
        <f ca="1">IFERROR(__xludf.DUMMYFUNCTION("""COMPUTED_VALUE"""),"MUNICIPALIDAD DISTRITAL DE SABAINO")</f>
        <v>MUNICIPALIDAD DISTRITAL DE SABAINO</v>
      </c>
      <c r="D290" s="25" t="str">
        <f ca="1">IFERROR(__xludf.DUMMYFUNCTION("""COMPUTED_VALUE"""),"CUZCO")</f>
        <v>CUZCO</v>
      </c>
      <c r="E290" s="25" t="str">
        <f ca="1">IFERROR(__xludf.DUMMYFUNCTION("""COMPUTED_VALUE"""),"APURÍMAC")</f>
        <v>APURÍMAC</v>
      </c>
      <c r="F290" s="25" t="str">
        <f ca="1">IFERROR(__xludf.DUMMYFUNCTION("""COMPUTED_VALUE"""),"ANTABAMBA")</f>
        <v>ANTABAMBA</v>
      </c>
      <c r="G290" s="25" t="str">
        <f ca="1">IFERROR(__xludf.DUMMYFUNCTION("""COMPUTED_VALUE"""),"SABAINO")</f>
        <v>SABAINO</v>
      </c>
      <c r="H290" s="25" t="str">
        <f ca="1">IFERROR(__xludf.DUMMYFUNCTION("""COMPUTED_VALUE"""),"RURAL")</f>
        <v>RURAL</v>
      </c>
      <c r="I290" s="25" t="str">
        <f ca="1">IFERROR(__xludf.DUMMYFUNCTION("""COMPUTED_VALUE"""),"Prioridad 2")</f>
        <v>Prioridad 2</v>
      </c>
      <c r="J290" s="43" t="s">
        <v>262</v>
      </c>
    </row>
    <row r="291" spans="2:10">
      <c r="B291" s="25" t="str">
        <f ca="1">IFERROR(__xludf.DUMMYFUNCTION("""COMPUTED_VALUE"""),"MUNICIPALIDAD DISTRITAL")</f>
        <v>MUNICIPALIDAD DISTRITAL</v>
      </c>
      <c r="C291" s="25" t="str">
        <f ca="1">IFERROR(__xludf.DUMMYFUNCTION("""COMPUTED_VALUE"""),"MUNICIPALIDAD DISTRITAL DE CAPAYA")</f>
        <v>MUNICIPALIDAD DISTRITAL DE CAPAYA</v>
      </c>
      <c r="D291" s="25" t="str">
        <f ca="1">IFERROR(__xludf.DUMMYFUNCTION("""COMPUTED_VALUE"""),"CUZCO")</f>
        <v>CUZCO</v>
      </c>
      <c r="E291" s="25" t="str">
        <f ca="1">IFERROR(__xludf.DUMMYFUNCTION("""COMPUTED_VALUE"""),"APURÍMAC")</f>
        <v>APURÍMAC</v>
      </c>
      <c r="F291" s="25" t="str">
        <f ca="1">IFERROR(__xludf.DUMMYFUNCTION("""COMPUTED_VALUE"""),"AYMARAES")</f>
        <v>AYMARAES</v>
      </c>
      <c r="G291" s="25" t="str">
        <f ca="1">IFERROR(__xludf.DUMMYFUNCTION("""COMPUTED_VALUE"""),"CAPAYA")</f>
        <v>CAPAYA</v>
      </c>
      <c r="H291" s="25" t="str">
        <f ca="1">IFERROR(__xludf.DUMMYFUNCTION("""COMPUTED_VALUE"""),"RURAL")</f>
        <v>RURAL</v>
      </c>
      <c r="I291" s="25" t="str">
        <f ca="1">IFERROR(__xludf.DUMMYFUNCTION("""COMPUTED_VALUE"""),"Prioridad 3")</f>
        <v>Prioridad 3</v>
      </c>
      <c r="J291" s="43" t="s">
        <v>262</v>
      </c>
    </row>
    <row r="292" spans="2:10">
      <c r="B292" s="25" t="str">
        <f ca="1">IFERROR(__xludf.DUMMYFUNCTION("""COMPUTED_VALUE"""),"MUNICIPALIDAD DISTRITAL")</f>
        <v>MUNICIPALIDAD DISTRITAL</v>
      </c>
      <c r="C292" s="25" t="str">
        <f ca="1">IFERROR(__xludf.DUMMYFUNCTION("""COMPUTED_VALUE"""),"MUNICIPALIDAD DISTRITAL DE CARAYBAMBA")</f>
        <v>MUNICIPALIDAD DISTRITAL DE CARAYBAMBA</v>
      </c>
      <c r="D292" s="25" t="str">
        <f ca="1">IFERROR(__xludf.DUMMYFUNCTION("""COMPUTED_VALUE"""),"CUZCO")</f>
        <v>CUZCO</v>
      </c>
      <c r="E292" s="25" t="str">
        <f ca="1">IFERROR(__xludf.DUMMYFUNCTION("""COMPUTED_VALUE"""),"APURÍMAC")</f>
        <v>APURÍMAC</v>
      </c>
      <c r="F292" s="25" t="str">
        <f ca="1">IFERROR(__xludf.DUMMYFUNCTION("""COMPUTED_VALUE"""),"AYMARAES")</f>
        <v>AYMARAES</v>
      </c>
      <c r="G292" s="25" t="str">
        <f ca="1">IFERROR(__xludf.DUMMYFUNCTION("""COMPUTED_VALUE"""),"CARAYBAMBA")</f>
        <v>CARAYBAMBA</v>
      </c>
      <c r="H292" s="25" t="str">
        <f ca="1">IFERROR(__xludf.DUMMYFUNCTION("""COMPUTED_VALUE"""),"RURAL")</f>
        <v>RURAL</v>
      </c>
      <c r="I292" s="25" t="str">
        <f ca="1">IFERROR(__xludf.DUMMYFUNCTION("""COMPUTED_VALUE"""),"Prioridad 2")</f>
        <v>Prioridad 2</v>
      </c>
      <c r="J292" s="43" t="s">
        <v>262</v>
      </c>
    </row>
    <row r="293" spans="2:10">
      <c r="B293" s="25" t="str">
        <f ca="1">IFERROR(__xludf.DUMMYFUNCTION("""COMPUTED_VALUE"""),"MUNICIPALIDAD DISTRITAL")</f>
        <v>MUNICIPALIDAD DISTRITAL</v>
      </c>
      <c r="C293" s="25" t="str">
        <f ca="1">IFERROR(__xludf.DUMMYFUNCTION("""COMPUTED_VALUE"""),"MUNICIPALIDAD DISTRITAL DE CHAPIMARCA")</f>
        <v>MUNICIPALIDAD DISTRITAL DE CHAPIMARCA</v>
      </c>
      <c r="D293" s="25" t="str">
        <f ca="1">IFERROR(__xludf.DUMMYFUNCTION("""COMPUTED_VALUE"""),"CUZCO")</f>
        <v>CUZCO</v>
      </c>
      <c r="E293" s="25" t="str">
        <f ca="1">IFERROR(__xludf.DUMMYFUNCTION("""COMPUTED_VALUE"""),"APURÍMAC")</f>
        <v>APURÍMAC</v>
      </c>
      <c r="F293" s="25" t="str">
        <f ca="1">IFERROR(__xludf.DUMMYFUNCTION("""COMPUTED_VALUE"""),"AYMARAES")</f>
        <v>AYMARAES</v>
      </c>
      <c r="G293" s="25" t="str">
        <f ca="1">IFERROR(__xludf.DUMMYFUNCTION("""COMPUTED_VALUE"""),"CHAPIMARCA")</f>
        <v>CHAPIMARCA</v>
      </c>
      <c r="H293" s="25" t="str">
        <f ca="1">IFERROR(__xludf.DUMMYFUNCTION("""COMPUTED_VALUE"""),"RURAL")</f>
        <v>RURAL</v>
      </c>
      <c r="I293" s="25" t="str">
        <f ca="1">IFERROR(__xludf.DUMMYFUNCTION("""COMPUTED_VALUE"""),"Prioridad 3")</f>
        <v>Prioridad 3</v>
      </c>
      <c r="J293" s="43" t="s">
        <v>262</v>
      </c>
    </row>
    <row r="294" spans="2:10">
      <c r="B294" s="25" t="str">
        <f ca="1">IFERROR(__xludf.DUMMYFUNCTION("""COMPUTED_VALUE"""),"MUNICIPALIDAD DISTRITAL")</f>
        <v>MUNICIPALIDAD DISTRITAL</v>
      </c>
      <c r="C294" s="25" t="str">
        <f ca="1">IFERROR(__xludf.DUMMYFUNCTION("""COMPUTED_VALUE"""),"MUNICIPALIDAD DISTRITAL DE COLCABAMBA EN AYMARAES")</f>
        <v>MUNICIPALIDAD DISTRITAL DE COLCABAMBA EN AYMARAES</v>
      </c>
      <c r="D294" s="25" t="str">
        <f ca="1">IFERROR(__xludf.DUMMYFUNCTION("""COMPUTED_VALUE"""),"CUZCO")</f>
        <v>CUZCO</v>
      </c>
      <c r="E294" s="25" t="str">
        <f ca="1">IFERROR(__xludf.DUMMYFUNCTION("""COMPUTED_VALUE"""),"APURÍMAC")</f>
        <v>APURÍMAC</v>
      </c>
      <c r="F294" s="25" t="str">
        <f ca="1">IFERROR(__xludf.DUMMYFUNCTION("""COMPUTED_VALUE"""),"AYMARAES")</f>
        <v>AYMARAES</v>
      </c>
      <c r="G294" s="25" t="str">
        <f ca="1">IFERROR(__xludf.DUMMYFUNCTION("""COMPUTED_VALUE"""),"COLCABAMBA")</f>
        <v>COLCABAMBA</v>
      </c>
      <c r="H294" s="25" t="str">
        <f ca="1">IFERROR(__xludf.DUMMYFUNCTION("""COMPUTED_VALUE"""),"RURAL")</f>
        <v>RURAL</v>
      </c>
      <c r="I294" s="25" t="str">
        <f ca="1">IFERROR(__xludf.DUMMYFUNCTION("""COMPUTED_VALUE"""),"Prioridad 5")</f>
        <v>Prioridad 5</v>
      </c>
      <c r="J294" s="43" t="s">
        <v>262</v>
      </c>
    </row>
    <row r="295" spans="2:10">
      <c r="B295" s="25" t="str">
        <f ca="1">IFERROR(__xludf.DUMMYFUNCTION("""COMPUTED_VALUE"""),"MUNICIPALIDAD DISTRITAL")</f>
        <v>MUNICIPALIDAD DISTRITAL</v>
      </c>
      <c r="C295" s="25" t="str">
        <f ca="1">IFERROR(__xludf.DUMMYFUNCTION("""COMPUTED_VALUE"""),"MUNICIPALIDAD DISTRITAL DE COTARUSE")</f>
        <v>MUNICIPALIDAD DISTRITAL DE COTARUSE</v>
      </c>
      <c r="D295" s="25" t="str">
        <f ca="1">IFERROR(__xludf.DUMMYFUNCTION("""COMPUTED_VALUE"""),"CUZCO")</f>
        <v>CUZCO</v>
      </c>
      <c r="E295" s="25" t="str">
        <f ca="1">IFERROR(__xludf.DUMMYFUNCTION("""COMPUTED_VALUE"""),"APURÍMAC")</f>
        <v>APURÍMAC</v>
      </c>
      <c r="F295" s="25" t="str">
        <f ca="1">IFERROR(__xludf.DUMMYFUNCTION("""COMPUTED_VALUE"""),"AYMARAES")</f>
        <v>AYMARAES</v>
      </c>
      <c r="G295" s="25" t="str">
        <f ca="1">IFERROR(__xludf.DUMMYFUNCTION("""COMPUTED_VALUE"""),"COTARUSE")</f>
        <v>COTARUSE</v>
      </c>
      <c r="H295" s="25" t="str">
        <f ca="1">IFERROR(__xludf.DUMMYFUNCTION("""COMPUTED_VALUE"""),"RURAL")</f>
        <v>RURAL</v>
      </c>
      <c r="I295" s="25" t="str">
        <f ca="1">IFERROR(__xludf.DUMMYFUNCTION("""COMPUTED_VALUE"""),"Prioridad 2")</f>
        <v>Prioridad 2</v>
      </c>
      <c r="J295" s="43" t="s">
        <v>262</v>
      </c>
    </row>
    <row r="296" spans="2:10">
      <c r="B296" s="25" t="str">
        <f ca="1">IFERROR(__xludf.DUMMYFUNCTION("""COMPUTED_VALUE"""),"MUNICIPALIDAD DISTRITAL")</f>
        <v>MUNICIPALIDAD DISTRITAL</v>
      </c>
      <c r="C296" s="25" t="str">
        <f ca="1">IFERROR(__xludf.DUMMYFUNCTION("""COMPUTED_VALUE"""),"MUNICIPALIDAD DISTRITAL DE IHUAYLLO")</f>
        <v>MUNICIPALIDAD DISTRITAL DE IHUAYLLO</v>
      </c>
      <c r="D296" s="25" t="str">
        <f ca="1">IFERROR(__xludf.DUMMYFUNCTION("""COMPUTED_VALUE"""),"CUZCO")</f>
        <v>CUZCO</v>
      </c>
      <c r="E296" s="25" t="str">
        <f ca="1">IFERROR(__xludf.DUMMYFUNCTION("""COMPUTED_VALUE"""),"APURÍMAC")</f>
        <v>APURÍMAC</v>
      </c>
      <c r="F296" s="25" t="str">
        <f ca="1">IFERROR(__xludf.DUMMYFUNCTION("""COMPUTED_VALUE"""),"AYMARAES")</f>
        <v>AYMARAES</v>
      </c>
      <c r="G296" s="25" t="str">
        <f ca="1">IFERROR(__xludf.DUMMYFUNCTION("""COMPUTED_VALUE"""),"IHUAYLLO")</f>
        <v>IHUAYLLO</v>
      </c>
      <c r="H296" s="25" t="str">
        <f ca="1">IFERROR(__xludf.DUMMYFUNCTION("""COMPUTED_VALUE"""),"RURAL")</f>
        <v>RURAL</v>
      </c>
      <c r="I296" s="25" t="str">
        <f ca="1">IFERROR(__xludf.DUMMYFUNCTION("""COMPUTED_VALUE"""),"Prioridad 5")</f>
        <v>Prioridad 5</v>
      </c>
      <c r="J296" s="43" t="s">
        <v>262</v>
      </c>
    </row>
    <row r="297" spans="2:10">
      <c r="B297" s="25" t="str">
        <f ca="1">IFERROR(__xludf.DUMMYFUNCTION("""COMPUTED_VALUE"""),"MUNICIPALIDAD DISTRITAL")</f>
        <v>MUNICIPALIDAD DISTRITAL</v>
      </c>
      <c r="C297" s="25" t="str">
        <f ca="1">IFERROR(__xludf.DUMMYFUNCTION("""COMPUTED_VALUE"""),"MUNICIPALIDAD DISTRITAL DE JUSTO APU SAHUARAURA")</f>
        <v>MUNICIPALIDAD DISTRITAL DE JUSTO APU SAHUARAURA</v>
      </c>
      <c r="D297" s="25" t="str">
        <f ca="1">IFERROR(__xludf.DUMMYFUNCTION("""COMPUTED_VALUE"""),"CUZCO")</f>
        <v>CUZCO</v>
      </c>
      <c r="E297" s="25" t="str">
        <f ca="1">IFERROR(__xludf.DUMMYFUNCTION("""COMPUTED_VALUE"""),"APURÍMAC")</f>
        <v>APURÍMAC</v>
      </c>
      <c r="F297" s="25" t="str">
        <f ca="1">IFERROR(__xludf.DUMMYFUNCTION("""COMPUTED_VALUE"""),"AYMARAES")</f>
        <v>AYMARAES</v>
      </c>
      <c r="G297" s="25" t="str">
        <f ca="1">IFERROR(__xludf.DUMMYFUNCTION("""COMPUTED_VALUE"""),"JUSTO APU SAHUARAURA")</f>
        <v>JUSTO APU SAHUARAURA</v>
      </c>
      <c r="H297" s="25" t="str">
        <f ca="1">IFERROR(__xludf.DUMMYFUNCTION("""COMPUTED_VALUE"""),"RURAL")</f>
        <v>RURAL</v>
      </c>
      <c r="I297" s="25" t="str">
        <f ca="1">IFERROR(__xludf.DUMMYFUNCTION("""COMPUTED_VALUE"""),"Prioridad 5")</f>
        <v>Prioridad 5</v>
      </c>
      <c r="J297" s="43" t="s">
        <v>262</v>
      </c>
    </row>
    <row r="298" spans="2:10">
      <c r="B298" s="25" t="str">
        <f ca="1">IFERROR(__xludf.DUMMYFUNCTION("""COMPUTED_VALUE"""),"MUNICIPALIDAD DISTRITAL")</f>
        <v>MUNICIPALIDAD DISTRITAL</v>
      </c>
      <c r="C298" s="25" t="str">
        <f ca="1">IFERROR(__xludf.DUMMYFUNCTION("""COMPUTED_VALUE"""),"MUNICIPALIDAD DISTRITAL DE LUCRE EN AYMARAES")</f>
        <v>MUNICIPALIDAD DISTRITAL DE LUCRE EN AYMARAES</v>
      </c>
      <c r="D298" s="25" t="str">
        <f ca="1">IFERROR(__xludf.DUMMYFUNCTION("""COMPUTED_VALUE"""),"CUZCO")</f>
        <v>CUZCO</v>
      </c>
      <c r="E298" s="25" t="str">
        <f ca="1">IFERROR(__xludf.DUMMYFUNCTION("""COMPUTED_VALUE"""),"APURÍMAC")</f>
        <v>APURÍMAC</v>
      </c>
      <c r="F298" s="25" t="str">
        <f ca="1">IFERROR(__xludf.DUMMYFUNCTION("""COMPUTED_VALUE"""),"AYMARAES")</f>
        <v>AYMARAES</v>
      </c>
      <c r="G298" s="25" t="str">
        <f ca="1">IFERROR(__xludf.DUMMYFUNCTION("""COMPUTED_VALUE"""),"LUCRE")</f>
        <v>LUCRE</v>
      </c>
      <c r="H298" s="25" t="str">
        <f ca="1">IFERROR(__xludf.DUMMYFUNCTION("""COMPUTED_VALUE"""),"RURAL")</f>
        <v>RURAL</v>
      </c>
      <c r="I298" s="25" t="str">
        <f ca="1">IFERROR(__xludf.DUMMYFUNCTION("""COMPUTED_VALUE"""),"Prioridad 3")</f>
        <v>Prioridad 3</v>
      </c>
      <c r="J298" s="43" t="s">
        <v>262</v>
      </c>
    </row>
    <row r="299" spans="2:10">
      <c r="B299" s="25" t="str">
        <f ca="1">IFERROR(__xludf.DUMMYFUNCTION("""COMPUTED_VALUE"""),"MUNICIPALIDAD DISTRITAL")</f>
        <v>MUNICIPALIDAD DISTRITAL</v>
      </c>
      <c r="C299" s="25" t="str">
        <f ca="1">IFERROR(__xludf.DUMMYFUNCTION("""COMPUTED_VALUE"""),"MUNICIPALIDAD DISTRITAL DE POCOHUANCA")</f>
        <v>MUNICIPALIDAD DISTRITAL DE POCOHUANCA</v>
      </c>
      <c r="D299" s="25" t="str">
        <f ca="1">IFERROR(__xludf.DUMMYFUNCTION("""COMPUTED_VALUE"""),"CUZCO")</f>
        <v>CUZCO</v>
      </c>
      <c r="E299" s="25" t="str">
        <f ca="1">IFERROR(__xludf.DUMMYFUNCTION("""COMPUTED_VALUE"""),"APURÍMAC")</f>
        <v>APURÍMAC</v>
      </c>
      <c r="F299" s="25" t="str">
        <f ca="1">IFERROR(__xludf.DUMMYFUNCTION("""COMPUTED_VALUE"""),"AYMARAES")</f>
        <v>AYMARAES</v>
      </c>
      <c r="G299" s="25" t="str">
        <f ca="1">IFERROR(__xludf.DUMMYFUNCTION("""COMPUTED_VALUE"""),"POCOHUANCA")</f>
        <v>POCOHUANCA</v>
      </c>
      <c r="H299" s="25" t="str">
        <f ca="1">IFERROR(__xludf.DUMMYFUNCTION("""COMPUTED_VALUE"""),"RURAL")</f>
        <v>RURAL</v>
      </c>
      <c r="I299" s="25" t="str">
        <f ca="1">IFERROR(__xludf.DUMMYFUNCTION("""COMPUTED_VALUE"""),"Prioridad 3")</f>
        <v>Prioridad 3</v>
      </c>
      <c r="J299" s="43" t="s">
        <v>262</v>
      </c>
    </row>
    <row r="300" spans="2:10">
      <c r="B300" s="25" t="str">
        <f ca="1">IFERROR(__xludf.DUMMYFUNCTION("""COMPUTED_VALUE"""),"MUNICIPALIDAD DISTRITAL")</f>
        <v>MUNICIPALIDAD DISTRITAL</v>
      </c>
      <c r="C300" s="25" t="str">
        <f ca="1">IFERROR(__xludf.DUMMYFUNCTION("""COMPUTED_VALUE"""),"MUNICIPALIDAD DISTRITAL DE SAN JUAN DE CHACÑA")</f>
        <v>MUNICIPALIDAD DISTRITAL DE SAN JUAN DE CHACÑA</v>
      </c>
      <c r="D300" s="25" t="str">
        <f ca="1">IFERROR(__xludf.DUMMYFUNCTION("""COMPUTED_VALUE"""),"CUZCO")</f>
        <v>CUZCO</v>
      </c>
      <c r="E300" s="25" t="str">
        <f ca="1">IFERROR(__xludf.DUMMYFUNCTION("""COMPUTED_VALUE"""),"APURÍMAC")</f>
        <v>APURÍMAC</v>
      </c>
      <c r="F300" s="25" t="str">
        <f ca="1">IFERROR(__xludf.DUMMYFUNCTION("""COMPUTED_VALUE"""),"AYMARAES")</f>
        <v>AYMARAES</v>
      </c>
      <c r="G300" s="25" t="str">
        <f ca="1">IFERROR(__xludf.DUMMYFUNCTION("""COMPUTED_VALUE"""),"SAN JUAN DE CHACÑA")</f>
        <v>SAN JUAN DE CHACÑA</v>
      </c>
      <c r="H300" s="25" t="str">
        <f ca="1">IFERROR(__xludf.DUMMYFUNCTION("""COMPUTED_VALUE"""),"RURAL")</f>
        <v>RURAL</v>
      </c>
      <c r="I300" s="25" t="str">
        <f ca="1">IFERROR(__xludf.DUMMYFUNCTION("""COMPUTED_VALUE"""),"Prioridad 4")</f>
        <v>Prioridad 4</v>
      </c>
      <c r="J300" s="43" t="s">
        <v>262</v>
      </c>
    </row>
    <row r="301" spans="2:10">
      <c r="B301" s="25" t="str">
        <f ca="1">IFERROR(__xludf.DUMMYFUNCTION("""COMPUTED_VALUE"""),"MUNICIPALIDAD DISTRITAL")</f>
        <v>MUNICIPALIDAD DISTRITAL</v>
      </c>
      <c r="C301" s="25" t="str">
        <f ca="1">IFERROR(__xludf.DUMMYFUNCTION("""COMPUTED_VALUE"""),"MUNICIPALIDAD DISTRITAL DE SAÑAYCA")</f>
        <v>MUNICIPALIDAD DISTRITAL DE SAÑAYCA</v>
      </c>
      <c r="D301" s="25" t="str">
        <f ca="1">IFERROR(__xludf.DUMMYFUNCTION("""COMPUTED_VALUE"""),"CUZCO")</f>
        <v>CUZCO</v>
      </c>
      <c r="E301" s="25" t="str">
        <f ca="1">IFERROR(__xludf.DUMMYFUNCTION("""COMPUTED_VALUE"""),"APURÍMAC")</f>
        <v>APURÍMAC</v>
      </c>
      <c r="F301" s="25" t="str">
        <f ca="1">IFERROR(__xludf.DUMMYFUNCTION("""COMPUTED_VALUE"""),"AYMARAES")</f>
        <v>AYMARAES</v>
      </c>
      <c r="G301" s="25" t="str">
        <f ca="1">IFERROR(__xludf.DUMMYFUNCTION("""COMPUTED_VALUE"""),"SAÑAYCA")</f>
        <v>SAÑAYCA</v>
      </c>
      <c r="H301" s="25" t="str">
        <f ca="1">IFERROR(__xludf.DUMMYFUNCTION("""COMPUTED_VALUE"""),"RURAL")</f>
        <v>RURAL</v>
      </c>
      <c r="I301" s="25" t="str">
        <f ca="1">IFERROR(__xludf.DUMMYFUNCTION("""COMPUTED_VALUE"""),"Prioridad 5")</f>
        <v>Prioridad 5</v>
      </c>
      <c r="J301" s="43" t="s">
        <v>262</v>
      </c>
    </row>
    <row r="302" spans="2:10">
      <c r="B302" s="25" t="str">
        <f ca="1">IFERROR(__xludf.DUMMYFUNCTION("""COMPUTED_VALUE"""),"MUNICIPALIDAD DISTRITAL")</f>
        <v>MUNICIPALIDAD DISTRITAL</v>
      </c>
      <c r="C302" s="25" t="str">
        <f ca="1">IFERROR(__xludf.DUMMYFUNCTION("""COMPUTED_VALUE"""),"MUNICIPALIDAD DISTRITAL DE SORAYA")</f>
        <v>MUNICIPALIDAD DISTRITAL DE SORAYA</v>
      </c>
      <c r="D302" s="25" t="str">
        <f ca="1">IFERROR(__xludf.DUMMYFUNCTION("""COMPUTED_VALUE"""),"CUZCO")</f>
        <v>CUZCO</v>
      </c>
      <c r="E302" s="25" t="str">
        <f ca="1">IFERROR(__xludf.DUMMYFUNCTION("""COMPUTED_VALUE"""),"APURÍMAC")</f>
        <v>APURÍMAC</v>
      </c>
      <c r="F302" s="25" t="str">
        <f ca="1">IFERROR(__xludf.DUMMYFUNCTION("""COMPUTED_VALUE"""),"AYMARAES")</f>
        <v>AYMARAES</v>
      </c>
      <c r="G302" s="25" t="str">
        <f ca="1">IFERROR(__xludf.DUMMYFUNCTION("""COMPUTED_VALUE"""),"SORAYA")</f>
        <v>SORAYA</v>
      </c>
      <c r="H302" s="25" t="str">
        <f ca="1">IFERROR(__xludf.DUMMYFUNCTION("""COMPUTED_VALUE"""),"RURAL")</f>
        <v>RURAL</v>
      </c>
      <c r="I302" s="25" t="str">
        <f ca="1">IFERROR(__xludf.DUMMYFUNCTION("""COMPUTED_VALUE"""),"Prioridad 5")</f>
        <v>Prioridad 5</v>
      </c>
      <c r="J302" s="43" t="s">
        <v>262</v>
      </c>
    </row>
    <row r="303" spans="2:10">
      <c r="B303" s="25" t="str">
        <f ca="1">IFERROR(__xludf.DUMMYFUNCTION("""COMPUTED_VALUE"""),"MUNICIPALIDAD DISTRITAL")</f>
        <v>MUNICIPALIDAD DISTRITAL</v>
      </c>
      <c r="C303" s="25" t="str">
        <f ca="1">IFERROR(__xludf.DUMMYFUNCTION("""COMPUTED_VALUE"""),"MUNICIPALIDAD DISTRITAL DE TAPAIRIHUA")</f>
        <v>MUNICIPALIDAD DISTRITAL DE TAPAIRIHUA</v>
      </c>
      <c r="D303" s="25" t="str">
        <f ca="1">IFERROR(__xludf.DUMMYFUNCTION("""COMPUTED_VALUE"""),"CUZCO")</f>
        <v>CUZCO</v>
      </c>
      <c r="E303" s="25" t="str">
        <f ca="1">IFERROR(__xludf.DUMMYFUNCTION("""COMPUTED_VALUE"""),"APURÍMAC")</f>
        <v>APURÍMAC</v>
      </c>
      <c r="F303" s="25" t="str">
        <f ca="1">IFERROR(__xludf.DUMMYFUNCTION("""COMPUTED_VALUE"""),"AYMARAES")</f>
        <v>AYMARAES</v>
      </c>
      <c r="G303" s="25" t="str">
        <f ca="1">IFERROR(__xludf.DUMMYFUNCTION("""COMPUTED_VALUE"""),"TAPAIRIHUA")</f>
        <v>TAPAIRIHUA</v>
      </c>
      <c r="H303" s="25" t="str">
        <f ca="1">IFERROR(__xludf.DUMMYFUNCTION("""COMPUTED_VALUE"""),"RURAL")</f>
        <v>RURAL</v>
      </c>
      <c r="I303" s="25" t="str">
        <f ca="1">IFERROR(__xludf.DUMMYFUNCTION("""COMPUTED_VALUE"""),"Prioridad 2")</f>
        <v>Prioridad 2</v>
      </c>
      <c r="J303" s="43" t="s">
        <v>262</v>
      </c>
    </row>
    <row r="304" spans="2:10">
      <c r="B304" s="25" t="str">
        <f ca="1">IFERROR(__xludf.DUMMYFUNCTION("""COMPUTED_VALUE"""),"MUNICIPALIDAD DISTRITAL")</f>
        <v>MUNICIPALIDAD DISTRITAL</v>
      </c>
      <c r="C304" s="25" t="str">
        <f ca="1">IFERROR(__xludf.DUMMYFUNCTION("""COMPUTED_VALUE"""),"MUNICIPALIDAD DISTRITAL DE TINTAY")</f>
        <v>MUNICIPALIDAD DISTRITAL DE TINTAY</v>
      </c>
      <c r="D304" s="25" t="str">
        <f ca="1">IFERROR(__xludf.DUMMYFUNCTION("""COMPUTED_VALUE"""),"CUZCO")</f>
        <v>CUZCO</v>
      </c>
      <c r="E304" s="25" t="str">
        <f ca="1">IFERROR(__xludf.DUMMYFUNCTION("""COMPUTED_VALUE"""),"APURÍMAC")</f>
        <v>APURÍMAC</v>
      </c>
      <c r="F304" s="25" t="str">
        <f ca="1">IFERROR(__xludf.DUMMYFUNCTION("""COMPUTED_VALUE"""),"AYMARAES")</f>
        <v>AYMARAES</v>
      </c>
      <c r="G304" s="25" t="str">
        <f ca="1">IFERROR(__xludf.DUMMYFUNCTION("""COMPUTED_VALUE"""),"TINTAY")</f>
        <v>TINTAY</v>
      </c>
      <c r="H304" s="25" t="str">
        <f ca="1">IFERROR(__xludf.DUMMYFUNCTION("""COMPUTED_VALUE"""),"RURAL")</f>
        <v>RURAL</v>
      </c>
      <c r="I304" s="25" t="str">
        <f ca="1">IFERROR(__xludf.DUMMYFUNCTION("""COMPUTED_VALUE"""),"Prioridad 3")</f>
        <v>Prioridad 3</v>
      </c>
      <c r="J304" s="43" t="s">
        <v>262</v>
      </c>
    </row>
    <row r="305" spans="2:10">
      <c r="B305" s="25" t="str">
        <f ca="1">IFERROR(__xludf.DUMMYFUNCTION("""COMPUTED_VALUE"""),"MUNICIPALIDAD DISTRITAL")</f>
        <v>MUNICIPALIDAD DISTRITAL</v>
      </c>
      <c r="C305" s="25" t="str">
        <f ca="1">IFERROR(__xludf.DUMMYFUNCTION("""COMPUTED_VALUE"""),"MUNICIPALIDAD DISTRITAL DE TORAYA")</f>
        <v>MUNICIPALIDAD DISTRITAL DE TORAYA</v>
      </c>
      <c r="D305" s="25" t="str">
        <f ca="1">IFERROR(__xludf.DUMMYFUNCTION("""COMPUTED_VALUE"""),"CUZCO")</f>
        <v>CUZCO</v>
      </c>
      <c r="E305" s="25" t="str">
        <f ca="1">IFERROR(__xludf.DUMMYFUNCTION("""COMPUTED_VALUE"""),"APURÍMAC")</f>
        <v>APURÍMAC</v>
      </c>
      <c r="F305" s="25" t="str">
        <f ca="1">IFERROR(__xludf.DUMMYFUNCTION("""COMPUTED_VALUE"""),"AYMARAES")</f>
        <v>AYMARAES</v>
      </c>
      <c r="G305" s="25" t="str">
        <f ca="1">IFERROR(__xludf.DUMMYFUNCTION("""COMPUTED_VALUE"""),"TORAYA")</f>
        <v>TORAYA</v>
      </c>
      <c r="H305" s="25" t="str">
        <f ca="1">IFERROR(__xludf.DUMMYFUNCTION("""COMPUTED_VALUE"""),"RURAL")</f>
        <v>RURAL</v>
      </c>
      <c r="I305" s="25" t="str">
        <f ca="1">IFERROR(__xludf.DUMMYFUNCTION("""COMPUTED_VALUE"""),"Prioridad 4")</f>
        <v>Prioridad 4</v>
      </c>
      <c r="J305" s="43" t="s">
        <v>262</v>
      </c>
    </row>
    <row r="306" spans="2:10">
      <c r="B306" s="25" t="str">
        <f ca="1">IFERROR(__xludf.DUMMYFUNCTION("""COMPUTED_VALUE"""),"MUNICIPALIDAD DISTRITAL")</f>
        <v>MUNICIPALIDAD DISTRITAL</v>
      </c>
      <c r="C306" s="25" t="str">
        <f ca="1">IFERROR(__xludf.DUMMYFUNCTION("""COMPUTED_VALUE"""),"MUNICIPALIDAD DISTRITAL DE YANACA")</f>
        <v>MUNICIPALIDAD DISTRITAL DE YANACA</v>
      </c>
      <c r="D306" s="25" t="str">
        <f ca="1">IFERROR(__xludf.DUMMYFUNCTION("""COMPUTED_VALUE"""),"CUZCO")</f>
        <v>CUZCO</v>
      </c>
      <c r="E306" s="25" t="str">
        <f ca="1">IFERROR(__xludf.DUMMYFUNCTION("""COMPUTED_VALUE"""),"APURÍMAC")</f>
        <v>APURÍMAC</v>
      </c>
      <c r="F306" s="25" t="str">
        <f ca="1">IFERROR(__xludf.DUMMYFUNCTION("""COMPUTED_VALUE"""),"AYMARAES")</f>
        <v>AYMARAES</v>
      </c>
      <c r="G306" s="25" t="str">
        <f ca="1">IFERROR(__xludf.DUMMYFUNCTION("""COMPUTED_VALUE"""),"YANACA")</f>
        <v>YANACA</v>
      </c>
      <c r="H306" s="25" t="str">
        <f ca="1">IFERROR(__xludf.DUMMYFUNCTION("""COMPUTED_VALUE"""),"RURAL")</f>
        <v>RURAL</v>
      </c>
      <c r="I306" s="25" t="str">
        <f ca="1">IFERROR(__xludf.DUMMYFUNCTION("""COMPUTED_VALUE"""),"Prioridad 3")</f>
        <v>Prioridad 3</v>
      </c>
      <c r="J306" s="43" t="s">
        <v>262</v>
      </c>
    </row>
    <row r="307" spans="2:10">
      <c r="B307" s="25" t="str">
        <f ca="1">IFERROR(__xludf.DUMMYFUNCTION("""COMPUTED_VALUE"""),"MUNICIPALIDAD PROVINCIAL")</f>
        <v>MUNICIPALIDAD PROVINCIAL</v>
      </c>
      <c r="C307" s="25" t="str">
        <f ca="1">IFERROR(__xludf.DUMMYFUNCTION("""COMPUTED_VALUE"""),"MUNICIPALIDAD PROVINCIAL DE AYMARAES")</f>
        <v>MUNICIPALIDAD PROVINCIAL DE AYMARAES</v>
      </c>
      <c r="D307" s="25" t="str">
        <f ca="1">IFERROR(__xludf.DUMMYFUNCTION("""COMPUTED_VALUE"""),"CUZCO")</f>
        <v>CUZCO</v>
      </c>
      <c r="E307" s="25" t="str">
        <f ca="1">IFERROR(__xludf.DUMMYFUNCTION("""COMPUTED_VALUE"""),"APURÍMAC")</f>
        <v>APURÍMAC</v>
      </c>
      <c r="F307" s="25" t="str">
        <f ca="1">IFERROR(__xludf.DUMMYFUNCTION("""COMPUTED_VALUE"""),"AYMARAES")</f>
        <v>AYMARAES</v>
      </c>
      <c r="G307" s="25" t="str">
        <f ca="1">IFERROR(__xludf.DUMMYFUNCTION("""COMPUTED_VALUE"""),"CHALHUANCA")</f>
        <v>CHALHUANCA</v>
      </c>
      <c r="H307" s="25" t="str">
        <f ca="1">IFERROR(__xludf.DUMMYFUNCTION("""COMPUTED_VALUE"""),"URBANO")</f>
        <v>URBANO</v>
      </c>
      <c r="I307" s="25" t="str">
        <f ca="1">IFERROR(__xludf.DUMMYFUNCTION("""COMPUTED_VALUE"""),"Prioridad 1")</f>
        <v>Prioridad 1</v>
      </c>
      <c r="J307" s="43" t="s">
        <v>262</v>
      </c>
    </row>
    <row r="308" spans="2:10">
      <c r="B308" s="25" t="str">
        <f ca="1">IFERROR(__xludf.DUMMYFUNCTION("""COMPUTED_VALUE"""),"MUNICIPALIDAD DISTRITAL")</f>
        <v>MUNICIPALIDAD DISTRITAL</v>
      </c>
      <c r="C308" s="25" t="str">
        <f ca="1">IFERROR(__xludf.DUMMYFUNCTION("""COMPUTED_VALUE"""),"MUNICIPALIDAD DISTRITAL DE ANCO HUALLO")</f>
        <v>MUNICIPALIDAD DISTRITAL DE ANCO HUALLO</v>
      </c>
      <c r="D308" s="25" t="str">
        <f ca="1">IFERROR(__xludf.DUMMYFUNCTION("""COMPUTED_VALUE"""),"CUZCO")</f>
        <v>CUZCO</v>
      </c>
      <c r="E308" s="25" t="str">
        <f ca="1">IFERROR(__xludf.DUMMYFUNCTION("""COMPUTED_VALUE"""),"APURÍMAC")</f>
        <v>APURÍMAC</v>
      </c>
      <c r="F308" s="25" t="str">
        <f ca="1">IFERROR(__xludf.DUMMYFUNCTION("""COMPUTED_VALUE"""),"CHINCHEROS")</f>
        <v>CHINCHEROS</v>
      </c>
      <c r="G308" s="25" t="str">
        <f ca="1">IFERROR(__xludf.DUMMYFUNCTION("""COMPUTED_VALUE"""),"ANCO HUALLO")</f>
        <v>ANCO HUALLO</v>
      </c>
      <c r="H308" s="25" t="str">
        <f ca="1">IFERROR(__xludf.DUMMYFUNCTION("""COMPUTED_VALUE"""),"RURAL")</f>
        <v>RURAL</v>
      </c>
      <c r="I308" s="25" t="str">
        <f ca="1">IFERROR(__xludf.DUMMYFUNCTION("""COMPUTED_VALUE"""),"Prioridad 4")</f>
        <v>Prioridad 4</v>
      </c>
      <c r="J308" s="43" t="s">
        <v>262</v>
      </c>
    </row>
    <row r="309" spans="2:10">
      <c r="B309" s="25" t="str">
        <f ca="1">IFERROR(__xludf.DUMMYFUNCTION("""COMPUTED_VALUE"""),"MUNICIPALIDAD PROVINCIAL")</f>
        <v>MUNICIPALIDAD PROVINCIAL</v>
      </c>
      <c r="C309" s="25" t="str">
        <f ca="1">IFERROR(__xludf.DUMMYFUNCTION("""COMPUTED_VALUE"""),"MUNICIPALIDAD PROVINCIAL DE CHINCHEROS")</f>
        <v>MUNICIPALIDAD PROVINCIAL DE CHINCHEROS</v>
      </c>
      <c r="D309" s="25" t="str">
        <f ca="1">IFERROR(__xludf.DUMMYFUNCTION("""COMPUTED_VALUE"""),"CUZCO")</f>
        <v>CUZCO</v>
      </c>
      <c r="E309" s="25" t="str">
        <f ca="1">IFERROR(__xludf.DUMMYFUNCTION("""COMPUTED_VALUE"""),"APURÍMAC")</f>
        <v>APURÍMAC</v>
      </c>
      <c r="F309" s="25" t="str">
        <f ca="1">IFERROR(__xludf.DUMMYFUNCTION("""COMPUTED_VALUE"""),"CHINCHEROS")</f>
        <v>CHINCHEROS</v>
      </c>
      <c r="G309" s="25" t="str">
        <f ca="1">IFERROR(__xludf.DUMMYFUNCTION("""COMPUTED_VALUE"""),"CHINCHEROS")</f>
        <v>CHINCHEROS</v>
      </c>
      <c r="H309" s="25" t="str">
        <f ca="1">IFERROR(__xludf.DUMMYFUNCTION("""COMPUTED_VALUE"""),"RURAL")</f>
        <v>RURAL</v>
      </c>
      <c r="I309" s="25" t="str">
        <f ca="1">IFERROR(__xludf.DUMMYFUNCTION("""COMPUTED_VALUE"""),"Prioridad 1")</f>
        <v>Prioridad 1</v>
      </c>
      <c r="J309" s="43" t="s">
        <v>262</v>
      </c>
    </row>
    <row r="310" spans="2:10">
      <c r="B310" s="25" t="str">
        <f ca="1">IFERROR(__xludf.DUMMYFUNCTION("""COMPUTED_VALUE"""),"MUNICIPALIDAD DISTRITAL")</f>
        <v>MUNICIPALIDAD DISTRITAL</v>
      </c>
      <c r="C310" s="25" t="str">
        <f ca="1">IFERROR(__xludf.DUMMYFUNCTION("""COMPUTED_VALUE"""),"MUNICIPALIDAD DISTRITAL DE COCHARCAS")</f>
        <v>MUNICIPALIDAD DISTRITAL DE COCHARCAS</v>
      </c>
      <c r="D310" s="25" t="str">
        <f ca="1">IFERROR(__xludf.DUMMYFUNCTION("""COMPUTED_VALUE"""),"CUZCO")</f>
        <v>CUZCO</v>
      </c>
      <c r="E310" s="25" t="str">
        <f ca="1">IFERROR(__xludf.DUMMYFUNCTION("""COMPUTED_VALUE"""),"APURÍMAC")</f>
        <v>APURÍMAC</v>
      </c>
      <c r="F310" s="25" t="str">
        <f ca="1">IFERROR(__xludf.DUMMYFUNCTION("""COMPUTED_VALUE"""),"CHINCHEROS")</f>
        <v>CHINCHEROS</v>
      </c>
      <c r="G310" s="25" t="str">
        <f ca="1">IFERROR(__xludf.DUMMYFUNCTION("""COMPUTED_VALUE"""),"COCHARCAS")</f>
        <v>COCHARCAS</v>
      </c>
      <c r="H310" s="25" t="str">
        <f ca="1">IFERROR(__xludf.DUMMYFUNCTION("""COMPUTED_VALUE"""),"RURAL")</f>
        <v>RURAL</v>
      </c>
      <c r="I310" s="25" t="str">
        <f ca="1">IFERROR(__xludf.DUMMYFUNCTION("""COMPUTED_VALUE"""),"Prioridad 5")</f>
        <v>Prioridad 5</v>
      </c>
      <c r="J310" s="43" t="s">
        <v>262</v>
      </c>
    </row>
    <row r="311" spans="2:10">
      <c r="B311" s="25" t="str">
        <f ca="1">IFERROR(__xludf.DUMMYFUNCTION("""COMPUTED_VALUE"""),"MUNICIPALIDAD DISTRITAL")</f>
        <v>MUNICIPALIDAD DISTRITAL</v>
      </c>
      <c r="C311" s="25" t="str">
        <f ca="1">IFERROR(__xludf.DUMMYFUNCTION("""COMPUTED_VALUE"""),"MUNICIPALIDAD DISTRITAL DE EL PORVENIR EN CHINCHEROS")</f>
        <v>MUNICIPALIDAD DISTRITAL DE EL PORVENIR EN CHINCHEROS</v>
      </c>
      <c r="D311" s="25" t="str">
        <f ca="1">IFERROR(__xludf.DUMMYFUNCTION("""COMPUTED_VALUE"""),"CUZCO")</f>
        <v>CUZCO</v>
      </c>
      <c r="E311" s="25" t="str">
        <f ca="1">IFERROR(__xludf.DUMMYFUNCTION("""COMPUTED_VALUE"""),"APURÍMAC")</f>
        <v>APURÍMAC</v>
      </c>
      <c r="F311" s="25" t="str">
        <f ca="1">IFERROR(__xludf.DUMMYFUNCTION("""COMPUTED_VALUE"""),"CHINCHEROS")</f>
        <v>CHINCHEROS</v>
      </c>
      <c r="G311" s="25" t="str">
        <f ca="1">IFERROR(__xludf.DUMMYFUNCTION("""COMPUTED_VALUE"""),"EL PORVENIR")</f>
        <v>EL PORVENIR</v>
      </c>
      <c r="H311" s="25" t="str">
        <f ca="1">IFERROR(__xludf.DUMMYFUNCTION("""COMPUTED_VALUE"""),"RURAL")</f>
        <v>RURAL</v>
      </c>
      <c r="I311" s="25" t="str">
        <f ca="1">IFERROR(__xludf.DUMMYFUNCTION("""COMPUTED_VALUE"""),"Prioridad 5")</f>
        <v>Prioridad 5</v>
      </c>
      <c r="J311" s="43" t="s">
        <v>262</v>
      </c>
    </row>
    <row r="312" spans="2:10">
      <c r="B312" s="25" t="str">
        <f ca="1">IFERROR(__xludf.DUMMYFUNCTION("""COMPUTED_VALUE"""),"MUNICIPALIDAD DISTRITAL")</f>
        <v>MUNICIPALIDAD DISTRITAL</v>
      </c>
      <c r="C312" s="25" t="str">
        <f ca="1">IFERROR(__xludf.DUMMYFUNCTION("""COMPUTED_VALUE"""),"MUNICIPALIDAD DISTRITAL DE HUACCANA")</f>
        <v>MUNICIPALIDAD DISTRITAL DE HUACCANA</v>
      </c>
      <c r="D312" s="25" t="str">
        <f ca="1">IFERROR(__xludf.DUMMYFUNCTION("""COMPUTED_VALUE"""),"CUZCO")</f>
        <v>CUZCO</v>
      </c>
      <c r="E312" s="25" t="str">
        <f ca="1">IFERROR(__xludf.DUMMYFUNCTION("""COMPUTED_VALUE"""),"APURÍMAC")</f>
        <v>APURÍMAC</v>
      </c>
      <c r="F312" s="25" t="str">
        <f ca="1">IFERROR(__xludf.DUMMYFUNCTION("""COMPUTED_VALUE"""),"CHINCHEROS")</f>
        <v>CHINCHEROS</v>
      </c>
      <c r="G312" s="25" t="str">
        <f ca="1">IFERROR(__xludf.DUMMYFUNCTION("""COMPUTED_VALUE"""),"HUACCANA")</f>
        <v>HUACCANA</v>
      </c>
      <c r="H312" s="25" t="str">
        <f ca="1">IFERROR(__xludf.DUMMYFUNCTION("""COMPUTED_VALUE"""),"RURAL")</f>
        <v>RURAL</v>
      </c>
      <c r="I312" s="25" t="str">
        <f ca="1">IFERROR(__xludf.DUMMYFUNCTION("""COMPUTED_VALUE"""),"Prioridad 3")</f>
        <v>Prioridad 3</v>
      </c>
      <c r="J312" s="43" t="s">
        <v>262</v>
      </c>
    </row>
    <row r="313" spans="2:10">
      <c r="B313" s="25" t="str">
        <f ca="1">IFERROR(__xludf.DUMMYFUNCTION("""COMPUTED_VALUE"""),"MUNICIPALIDAD DISTRITAL")</f>
        <v>MUNICIPALIDAD DISTRITAL</v>
      </c>
      <c r="C313" s="25" t="str">
        <f ca="1">IFERROR(__xludf.DUMMYFUNCTION("""COMPUTED_VALUE"""),"MUNICIPALIDAD DISTRITAL DE CHANKAS")</f>
        <v>MUNICIPALIDAD DISTRITAL DE CHANKAS</v>
      </c>
      <c r="D313" s="25" t="str">
        <f ca="1">IFERROR(__xludf.DUMMYFUNCTION("""COMPUTED_VALUE"""),"CUZCO")</f>
        <v>CUZCO</v>
      </c>
      <c r="E313" s="25" t="str">
        <f ca="1">IFERROR(__xludf.DUMMYFUNCTION("""COMPUTED_VALUE"""),"APURÍMAC")</f>
        <v>APURÍMAC</v>
      </c>
      <c r="F313" s="25" t="str">
        <f ca="1">IFERROR(__xludf.DUMMYFUNCTION("""COMPUTED_VALUE"""),"CHINCHEROS")</f>
        <v>CHINCHEROS</v>
      </c>
      <c r="G313" s="25" t="str">
        <f ca="1">IFERROR(__xludf.DUMMYFUNCTION("""COMPUTED_VALUE"""),"LOS CHANKAS")</f>
        <v>LOS CHANKAS</v>
      </c>
      <c r="H313" s="25" t="str">
        <f ca="1">IFERROR(__xludf.DUMMYFUNCTION("""COMPUTED_VALUE"""),"RURAL")</f>
        <v>RURAL</v>
      </c>
      <c r="I313" s="25" t="str">
        <f ca="1">IFERROR(__xludf.DUMMYFUNCTION("""COMPUTED_VALUE"""),"Prioridad 5")</f>
        <v>Prioridad 5</v>
      </c>
      <c r="J313" s="43" t="s">
        <v>262</v>
      </c>
    </row>
    <row r="314" spans="2:10">
      <c r="B314" s="25" t="str">
        <f ca="1">IFERROR(__xludf.DUMMYFUNCTION("""COMPUTED_VALUE"""),"MUNICIPALIDAD DISTRITAL")</f>
        <v>MUNICIPALIDAD DISTRITAL</v>
      </c>
      <c r="C314" s="25" t="str">
        <f ca="1">IFERROR(__xludf.DUMMYFUNCTION("""COMPUTED_VALUE"""),"MUNICIPALIDAD DISTRITAL DE OCOBAMBA EN CHINCHEROS")</f>
        <v>MUNICIPALIDAD DISTRITAL DE OCOBAMBA EN CHINCHEROS</v>
      </c>
      <c r="D314" s="25" t="str">
        <f ca="1">IFERROR(__xludf.DUMMYFUNCTION("""COMPUTED_VALUE"""),"CUZCO")</f>
        <v>CUZCO</v>
      </c>
      <c r="E314" s="25" t="str">
        <f ca="1">IFERROR(__xludf.DUMMYFUNCTION("""COMPUTED_VALUE"""),"APURÍMAC")</f>
        <v>APURÍMAC</v>
      </c>
      <c r="F314" s="25" t="str">
        <f ca="1">IFERROR(__xludf.DUMMYFUNCTION("""COMPUTED_VALUE"""),"CHINCHEROS")</f>
        <v>CHINCHEROS</v>
      </c>
      <c r="G314" s="25" t="str">
        <f ca="1">IFERROR(__xludf.DUMMYFUNCTION("""COMPUTED_VALUE"""),"OCOBAMBA")</f>
        <v>OCOBAMBA</v>
      </c>
      <c r="H314" s="25" t="str">
        <f ca="1">IFERROR(__xludf.DUMMYFUNCTION("""COMPUTED_VALUE"""),"RURAL")</f>
        <v>RURAL</v>
      </c>
      <c r="I314" s="25" t="str">
        <f ca="1">IFERROR(__xludf.DUMMYFUNCTION("""COMPUTED_VALUE"""),"Prioridad 5")</f>
        <v>Prioridad 5</v>
      </c>
      <c r="J314" s="43" t="s">
        <v>262</v>
      </c>
    </row>
    <row r="315" spans="2:10">
      <c r="B315" s="25" t="str">
        <f ca="1">IFERROR(__xludf.DUMMYFUNCTION("""COMPUTED_VALUE"""),"MUNICIPALIDAD DISTRITAL")</f>
        <v>MUNICIPALIDAD DISTRITAL</v>
      </c>
      <c r="C315" s="25" t="str">
        <f ca="1">IFERROR(__xludf.DUMMYFUNCTION("""COMPUTED_VALUE"""),"MUNICIPALIDAD DISTRITAL DE ONGOY")</f>
        <v>MUNICIPALIDAD DISTRITAL DE ONGOY</v>
      </c>
      <c r="D315" s="25" t="str">
        <f ca="1">IFERROR(__xludf.DUMMYFUNCTION("""COMPUTED_VALUE"""),"CUZCO")</f>
        <v>CUZCO</v>
      </c>
      <c r="E315" s="25" t="str">
        <f ca="1">IFERROR(__xludf.DUMMYFUNCTION("""COMPUTED_VALUE"""),"APURÍMAC")</f>
        <v>APURÍMAC</v>
      </c>
      <c r="F315" s="25" t="str">
        <f ca="1">IFERROR(__xludf.DUMMYFUNCTION("""COMPUTED_VALUE"""),"CHINCHEROS")</f>
        <v>CHINCHEROS</v>
      </c>
      <c r="G315" s="25" t="str">
        <f ca="1">IFERROR(__xludf.DUMMYFUNCTION("""COMPUTED_VALUE"""),"ONGOY")</f>
        <v>ONGOY</v>
      </c>
      <c r="H315" s="25" t="str">
        <f ca="1">IFERROR(__xludf.DUMMYFUNCTION("""COMPUTED_VALUE"""),"RURAL")</f>
        <v>RURAL</v>
      </c>
      <c r="I315" s="25" t="str">
        <f ca="1">IFERROR(__xludf.DUMMYFUNCTION("""COMPUTED_VALUE"""),"Prioridad 3")</f>
        <v>Prioridad 3</v>
      </c>
      <c r="J315" s="43" t="s">
        <v>262</v>
      </c>
    </row>
    <row r="316" spans="2:10">
      <c r="B316" s="25" t="str">
        <f ca="1">IFERROR(__xludf.DUMMYFUNCTION("""COMPUTED_VALUE"""),"MUNICIPALIDAD DISTRITAL")</f>
        <v>MUNICIPALIDAD DISTRITAL</v>
      </c>
      <c r="C316" s="25" t="str">
        <f ca="1">IFERROR(__xludf.DUMMYFUNCTION("""COMPUTED_VALUE"""),"MUNICIPALIDAD DISTRITAL DE RANRACANCHA")</f>
        <v>MUNICIPALIDAD DISTRITAL DE RANRACANCHA</v>
      </c>
      <c r="D316" s="25" t="str">
        <f ca="1">IFERROR(__xludf.DUMMYFUNCTION("""COMPUTED_VALUE"""),"CUZCO")</f>
        <v>CUZCO</v>
      </c>
      <c r="E316" s="25" t="str">
        <f ca="1">IFERROR(__xludf.DUMMYFUNCTION("""COMPUTED_VALUE"""),"APURÍMAC")</f>
        <v>APURÍMAC</v>
      </c>
      <c r="F316" s="25" t="str">
        <f ca="1">IFERROR(__xludf.DUMMYFUNCTION("""COMPUTED_VALUE"""),"CHINCHEROS")</f>
        <v>CHINCHEROS</v>
      </c>
      <c r="G316" s="25" t="str">
        <f ca="1">IFERROR(__xludf.DUMMYFUNCTION("""COMPUTED_VALUE"""),"RANRACANCHA")</f>
        <v>RANRACANCHA</v>
      </c>
      <c r="H316" s="25" t="str">
        <f ca="1">IFERROR(__xludf.DUMMYFUNCTION("""COMPUTED_VALUE"""),"RURAL")</f>
        <v>RURAL</v>
      </c>
      <c r="I316" s="25" t="str">
        <f ca="1">IFERROR(__xludf.DUMMYFUNCTION("""COMPUTED_VALUE"""),"Prioridad 5")</f>
        <v>Prioridad 5</v>
      </c>
      <c r="J316" s="43" t="s">
        <v>262</v>
      </c>
    </row>
    <row r="317" spans="2:10">
      <c r="B317" s="25" t="str">
        <f ca="1">IFERROR(__xludf.DUMMYFUNCTION("""COMPUTED_VALUE"""),"MUNICIPALIDAD DISTRITAL")</f>
        <v>MUNICIPALIDAD DISTRITAL</v>
      </c>
      <c r="C317" s="25" t="str">
        <f ca="1">IFERROR(__xludf.DUMMYFUNCTION("""COMPUTED_VALUE"""),"MUNICIPALIDAD DISTRITAL DE ROCCHACC")</f>
        <v>MUNICIPALIDAD DISTRITAL DE ROCCHACC</v>
      </c>
      <c r="D317" s="25" t="str">
        <f ca="1">IFERROR(__xludf.DUMMYFUNCTION("""COMPUTED_VALUE"""),"CUZCO")</f>
        <v>CUZCO</v>
      </c>
      <c r="E317" s="25" t="str">
        <f ca="1">IFERROR(__xludf.DUMMYFUNCTION("""COMPUTED_VALUE"""),"APURÍMAC")</f>
        <v>APURÍMAC</v>
      </c>
      <c r="F317" s="25" t="str">
        <f ca="1">IFERROR(__xludf.DUMMYFUNCTION("""COMPUTED_VALUE"""),"CHINCHEROS")</f>
        <v>CHINCHEROS</v>
      </c>
      <c r="G317" s="25" t="str">
        <f ca="1">IFERROR(__xludf.DUMMYFUNCTION("""COMPUTED_VALUE"""),"ROCCHACC")</f>
        <v>ROCCHACC</v>
      </c>
      <c r="H317" s="25" t="str">
        <f ca="1">IFERROR(__xludf.DUMMYFUNCTION("""COMPUTED_VALUE"""),"RURAL")</f>
        <v>RURAL</v>
      </c>
      <c r="I317" s="25" t="str">
        <f ca="1">IFERROR(__xludf.DUMMYFUNCTION("""COMPUTED_VALUE"""),"Prioridad 5")</f>
        <v>Prioridad 5</v>
      </c>
      <c r="J317" s="43" t="s">
        <v>262</v>
      </c>
    </row>
    <row r="318" spans="2:10">
      <c r="B318" s="25" t="str">
        <f ca="1">IFERROR(__xludf.DUMMYFUNCTION("""COMPUTED_VALUE"""),"MUNICIPALIDAD DISTRITAL")</f>
        <v>MUNICIPALIDAD DISTRITAL</v>
      </c>
      <c r="C318" s="25" t="str">
        <f ca="1">IFERROR(__xludf.DUMMYFUNCTION("""COMPUTED_VALUE"""),"MUNICIPALIDAD DISTRITAL DE URANMARCA")</f>
        <v>MUNICIPALIDAD DISTRITAL DE URANMARCA</v>
      </c>
      <c r="D318" s="25" t="str">
        <f ca="1">IFERROR(__xludf.DUMMYFUNCTION("""COMPUTED_VALUE"""),"CUZCO")</f>
        <v>CUZCO</v>
      </c>
      <c r="E318" s="25" t="str">
        <f ca="1">IFERROR(__xludf.DUMMYFUNCTION("""COMPUTED_VALUE"""),"APURÍMAC")</f>
        <v>APURÍMAC</v>
      </c>
      <c r="F318" s="25" t="str">
        <f ca="1">IFERROR(__xludf.DUMMYFUNCTION("""COMPUTED_VALUE"""),"CHINCHEROS")</f>
        <v>CHINCHEROS</v>
      </c>
      <c r="G318" s="25" t="str">
        <f ca="1">IFERROR(__xludf.DUMMYFUNCTION("""COMPUTED_VALUE"""),"URANMARCA")</f>
        <v>URANMARCA</v>
      </c>
      <c r="H318" s="25" t="str">
        <f ca="1">IFERROR(__xludf.DUMMYFUNCTION("""COMPUTED_VALUE"""),"RURAL")</f>
        <v>RURAL</v>
      </c>
      <c r="I318" s="25" t="str">
        <f ca="1">IFERROR(__xludf.DUMMYFUNCTION("""COMPUTED_VALUE"""),"Prioridad 4")</f>
        <v>Prioridad 4</v>
      </c>
      <c r="J318" s="43" t="s">
        <v>262</v>
      </c>
    </row>
    <row r="319" spans="2:10">
      <c r="B319" s="25" t="str">
        <f ca="1">IFERROR(__xludf.DUMMYFUNCTION("""COMPUTED_VALUE"""),"MUNICIPALIDAD DISTRITAL")</f>
        <v>MUNICIPALIDAD DISTRITAL</v>
      </c>
      <c r="C319" s="25" t="str">
        <f ca="1">IFERROR(__xludf.DUMMYFUNCTION("""COMPUTED_VALUE"""),"MUNICIPALIDAD DISTRITAL DE CHALLHUAHUACHO")</f>
        <v>MUNICIPALIDAD DISTRITAL DE CHALLHUAHUACHO</v>
      </c>
      <c r="D319" s="25" t="str">
        <f ca="1">IFERROR(__xludf.DUMMYFUNCTION("""COMPUTED_VALUE"""),"CUZCO")</f>
        <v>CUZCO</v>
      </c>
      <c r="E319" s="25" t="str">
        <f ca="1">IFERROR(__xludf.DUMMYFUNCTION("""COMPUTED_VALUE"""),"APURÍMAC")</f>
        <v>APURÍMAC</v>
      </c>
      <c r="F319" s="25" t="str">
        <f ca="1">IFERROR(__xludf.DUMMYFUNCTION("""COMPUTED_VALUE"""),"COTABAMBAS")</f>
        <v>COTABAMBAS</v>
      </c>
      <c r="G319" s="25" t="str">
        <f ca="1">IFERROR(__xludf.DUMMYFUNCTION("""COMPUTED_VALUE"""),"CHALLHUAHUACHO")</f>
        <v>CHALLHUAHUACHO</v>
      </c>
      <c r="H319" s="25" t="str">
        <f ca="1">IFERROR(__xludf.DUMMYFUNCTION("""COMPUTED_VALUE"""),"RURAL")</f>
        <v>RURAL</v>
      </c>
      <c r="I319" s="25" t="str">
        <f ca="1">IFERROR(__xludf.DUMMYFUNCTION("""COMPUTED_VALUE"""),"Prioridad 2")</f>
        <v>Prioridad 2</v>
      </c>
      <c r="J319" s="43" t="s">
        <v>262</v>
      </c>
    </row>
    <row r="320" spans="2:10">
      <c r="B320" s="25" t="str">
        <f ca="1">IFERROR(__xludf.DUMMYFUNCTION("""COMPUTED_VALUE"""),"MUNICIPALIDAD DISTRITAL")</f>
        <v>MUNICIPALIDAD DISTRITAL</v>
      </c>
      <c r="C320" s="25" t="str">
        <f ca="1">IFERROR(__xludf.DUMMYFUNCTION("""COMPUTED_VALUE"""),"MUNICIPALIDAD DISTRITAL DE COTABAMBAS")</f>
        <v>MUNICIPALIDAD DISTRITAL DE COTABAMBAS</v>
      </c>
      <c r="D320" s="25" t="str">
        <f ca="1">IFERROR(__xludf.DUMMYFUNCTION("""COMPUTED_VALUE"""),"CUZCO")</f>
        <v>CUZCO</v>
      </c>
      <c r="E320" s="25" t="str">
        <f ca="1">IFERROR(__xludf.DUMMYFUNCTION("""COMPUTED_VALUE"""),"APURÍMAC")</f>
        <v>APURÍMAC</v>
      </c>
      <c r="F320" s="25" t="str">
        <f ca="1">IFERROR(__xludf.DUMMYFUNCTION("""COMPUTED_VALUE"""),"COTABAMBAS")</f>
        <v>COTABAMBAS</v>
      </c>
      <c r="G320" s="25" t="str">
        <f ca="1">IFERROR(__xludf.DUMMYFUNCTION("""COMPUTED_VALUE"""),"COTABAMBAS")</f>
        <v>COTABAMBAS</v>
      </c>
      <c r="H320" s="25" t="str">
        <f ca="1">IFERROR(__xludf.DUMMYFUNCTION("""COMPUTED_VALUE"""),"RURAL")</f>
        <v>RURAL</v>
      </c>
      <c r="I320" s="25" t="str">
        <f ca="1">IFERROR(__xludf.DUMMYFUNCTION("""COMPUTED_VALUE"""),"Prioridad 3")</f>
        <v>Prioridad 3</v>
      </c>
      <c r="J320" s="43" t="s">
        <v>262</v>
      </c>
    </row>
    <row r="321" spans="2:10">
      <c r="B321" s="25" t="str">
        <f ca="1">IFERROR(__xludf.DUMMYFUNCTION("""COMPUTED_VALUE"""),"MUNICIPALIDAD DISTRITAL")</f>
        <v>MUNICIPALIDAD DISTRITAL</v>
      </c>
      <c r="C321" s="25" t="str">
        <f ca="1">IFERROR(__xludf.DUMMYFUNCTION("""COMPUTED_VALUE"""),"MUNICIPALIDAD DISTRITAL DE COYLLURQUI")</f>
        <v>MUNICIPALIDAD DISTRITAL DE COYLLURQUI</v>
      </c>
      <c r="D321" s="25" t="str">
        <f ca="1">IFERROR(__xludf.DUMMYFUNCTION("""COMPUTED_VALUE"""),"CUZCO")</f>
        <v>CUZCO</v>
      </c>
      <c r="E321" s="25" t="str">
        <f ca="1">IFERROR(__xludf.DUMMYFUNCTION("""COMPUTED_VALUE"""),"APURÍMAC")</f>
        <v>APURÍMAC</v>
      </c>
      <c r="F321" s="25" t="str">
        <f ca="1">IFERROR(__xludf.DUMMYFUNCTION("""COMPUTED_VALUE"""),"COTABAMBAS")</f>
        <v>COTABAMBAS</v>
      </c>
      <c r="G321" s="25" t="str">
        <f ca="1">IFERROR(__xludf.DUMMYFUNCTION("""COMPUTED_VALUE"""),"COYLLURQUI")</f>
        <v>COYLLURQUI</v>
      </c>
      <c r="H321" s="25" t="str">
        <f ca="1">IFERROR(__xludf.DUMMYFUNCTION("""COMPUTED_VALUE"""),"RURAL")</f>
        <v>RURAL</v>
      </c>
      <c r="I321" s="25" t="str">
        <f ca="1">IFERROR(__xludf.DUMMYFUNCTION("""COMPUTED_VALUE"""),"Prioridad 2")</f>
        <v>Prioridad 2</v>
      </c>
      <c r="J321" s="43" t="s">
        <v>262</v>
      </c>
    </row>
    <row r="322" spans="2:10">
      <c r="B322" s="25" t="str">
        <f ca="1">IFERROR(__xludf.DUMMYFUNCTION("""COMPUTED_VALUE"""),"MUNICIPALIDAD DISTRITAL")</f>
        <v>MUNICIPALIDAD DISTRITAL</v>
      </c>
      <c r="C322" s="25" t="str">
        <f ca="1">IFERROR(__xludf.DUMMYFUNCTION("""COMPUTED_VALUE"""),"MUNICIPALIDAD DISTRITAL DE HAQUIRA")</f>
        <v>MUNICIPALIDAD DISTRITAL DE HAQUIRA</v>
      </c>
      <c r="D322" s="25" t="str">
        <f ca="1">IFERROR(__xludf.DUMMYFUNCTION("""COMPUTED_VALUE"""),"CUZCO")</f>
        <v>CUZCO</v>
      </c>
      <c r="E322" s="25" t="str">
        <f ca="1">IFERROR(__xludf.DUMMYFUNCTION("""COMPUTED_VALUE"""),"APURÍMAC")</f>
        <v>APURÍMAC</v>
      </c>
      <c r="F322" s="25" t="str">
        <f ca="1">IFERROR(__xludf.DUMMYFUNCTION("""COMPUTED_VALUE"""),"COTABAMBAS")</f>
        <v>COTABAMBAS</v>
      </c>
      <c r="G322" s="25" t="str">
        <f ca="1">IFERROR(__xludf.DUMMYFUNCTION("""COMPUTED_VALUE"""),"HAQUIRA")</f>
        <v>HAQUIRA</v>
      </c>
      <c r="H322" s="25" t="str">
        <f ca="1">IFERROR(__xludf.DUMMYFUNCTION("""COMPUTED_VALUE"""),"RURAL")</f>
        <v>RURAL</v>
      </c>
      <c r="I322" s="25" t="str">
        <f ca="1">IFERROR(__xludf.DUMMYFUNCTION("""COMPUTED_VALUE"""),"Prioridad 3")</f>
        <v>Prioridad 3</v>
      </c>
      <c r="J322" s="43" t="s">
        <v>262</v>
      </c>
    </row>
    <row r="323" spans="2:10">
      <c r="B323" s="25" t="str">
        <f ca="1">IFERROR(__xludf.DUMMYFUNCTION("""COMPUTED_VALUE"""),"MUNICIPALIDAD DISTRITAL")</f>
        <v>MUNICIPALIDAD DISTRITAL</v>
      </c>
      <c r="C323" s="25" t="str">
        <f ca="1">IFERROR(__xludf.DUMMYFUNCTION("""COMPUTED_VALUE"""),"MUNICIPALIDAD DISTRITAL DE MARA")</f>
        <v>MUNICIPALIDAD DISTRITAL DE MARA</v>
      </c>
      <c r="D323" s="25" t="str">
        <f ca="1">IFERROR(__xludf.DUMMYFUNCTION("""COMPUTED_VALUE"""),"CUZCO")</f>
        <v>CUZCO</v>
      </c>
      <c r="E323" s="25" t="str">
        <f ca="1">IFERROR(__xludf.DUMMYFUNCTION("""COMPUTED_VALUE"""),"APURÍMAC")</f>
        <v>APURÍMAC</v>
      </c>
      <c r="F323" s="25" t="str">
        <f ca="1">IFERROR(__xludf.DUMMYFUNCTION("""COMPUTED_VALUE"""),"COTABAMBAS")</f>
        <v>COTABAMBAS</v>
      </c>
      <c r="G323" s="25" t="str">
        <f ca="1">IFERROR(__xludf.DUMMYFUNCTION("""COMPUTED_VALUE"""),"MARA")</f>
        <v>MARA</v>
      </c>
      <c r="H323" s="25" t="str">
        <f ca="1">IFERROR(__xludf.DUMMYFUNCTION("""COMPUTED_VALUE"""),"RURAL")</f>
        <v>RURAL</v>
      </c>
      <c r="I323" s="25" t="str">
        <f ca="1">IFERROR(__xludf.DUMMYFUNCTION("""COMPUTED_VALUE"""),"Prioridad 3")</f>
        <v>Prioridad 3</v>
      </c>
      <c r="J323" s="43" t="s">
        <v>262</v>
      </c>
    </row>
    <row r="324" spans="2:10">
      <c r="B324" s="25" t="str">
        <f ca="1">IFERROR(__xludf.DUMMYFUNCTION("""COMPUTED_VALUE"""),"MUNICIPALIDAD PROVINCIAL")</f>
        <v>MUNICIPALIDAD PROVINCIAL</v>
      </c>
      <c r="C324" s="25" t="str">
        <f ca="1">IFERROR(__xludf.DUMMYFUNCTION("""COMPUTED_VALUE"""),"MUNICIPALIDAD PROVINCIAL DE COTABAMBAS")</f>
        <v>MUNICIPALIDAD PROVINCIAL DE COTABAMBAS</v>
      </c>
      <c r="D324" s="25" t="str">
        <f ca="1">IFERROR(__xludf.DUMMYFUNCTION("""COMPUTED_VALUE"""),"CUZCO")</f>
        <v>CUZCO</v>
      </c>
      <c r="E324" s="25" t="str">
        <f ca="1">IFERROR(__xludf.DUMMYFUNCTION("""COMPUTED_VALUE"""),"APURÍMAC")</f>
        <v>APURÍMAC</v>
      </c>
      <c r="F324" s="25" t="str">
        <f ca="1">IFERROR(__xludf.DUMMYFUNCTION("""COMPUTED_VALUE"""),"COTABAMBAS")</f>
        <v>COTABAMBAS</v>
      </c>
      <c r="G324" s="25" t="str">
        <f ca="1">IFERROR(__xludf.DUMMYFUNCTION("""COMPUTED_VALUE"""),"TAMBOBAMBA")</f>
        <v>TAMBOBAMBA</v>
      </c>
      <c r="H324" s="25" t="str">
        <f ca="1">IFERROR(__xludf.DUMMYFUNCTION("""COMPUTED_VALUE"""),"RURAL")</f>
        <v>RURAL</v>
      </c>
      <c r="I324" s="25" t="str">
        <f ca="1">IFERROR(__xludf.DUMMYFUNCTION("""COMPUTED_VALUE"""),"Prioridad 1")</f>
        <v>Prioridad 1</v>
      </c>
      <c r="J324" s="43" t="s">
        <v>262</v>
      </c>
    </row>
    <row r="325" spans="2:10">
      <c r="B325" s="25" t="str">
        <f ca="1">IFERROR(__xludf.DUMMYFUNCTION("""COMPUTED_VALUE"""),"MUNICIPALIDAD PROVINCIAL")</f>
        <v>MUNICIPALIDAD PROVINCIAL</v>
      </c>
      <c r="C325" s="25" t="str">
        <f ca="1">IFERROR(__xludf.DUMMYFUNCTION("""COMPUTED_VALUE"""),"MUNICIPALIDAD PROVINCIAL DE GRAU")</f>
        <v>MUNICIPALIDAD PROVINCIAL DE GRAU</v>
      </c>
      <c r="D325" s="25" t="str">
        <f ca="1">IFERROR(__xludf.DUMMYFUNCTION("""COMPUTED_VALUE"""),"CUZCO")</f>
        <v>CUZCO</v>
      </c>
      <c r="E325" s="25" t="str">
        <f ca="1">IFERROR(__xludf.DUMMYFUNCTION("""COMPUTED_VALUE"""),"APURÍMAC")</f>
        <v>APURÍMAC</v>
      </c>
      <c r="F325" s="25" t="str">
        <f ca="1">IFERROR(__xludf.DUMMYFUNCTION("""COMPUTED_VALUE"""),"GRAU")</f>
        <v>GRAU</v>
      </c>
      <c r="G325" s="25" t="str">
        <f ca="1">IFERROR(__xludf.DUMMYFUNCTION("""COMPUTED_VALUE"""),"CHUQUIBAMBILLA")</f>
        <v>CHUQUIBAMBILLA</v>
      </c>
      <c r="H325" s="25" t="str">
        <f ca="1">IFERROR(__xludf.DUMMYFUNCTION("""COMPUTED_VALUE"""),"RURAL")</f>
        <v>RURAL</v>
      </c>
      <c r="I325" s="25" t="str">
        <f ca="1">IFERROR(__xludf.DUMMYFUNCTION("""COMPUTED_VALUE"""),"Prioridad 2")</f>
        <v>Prioridad 2</v>
      </c>
      <c r="J325" s="43" t="s">
        <v>262</v>
      </c>
    </row>
    <row r="326" spans="2:10">
      <c r="B326" s="25" t="str">
        <f ca="1">IFERROR(__xludf.DUMMYFUNCTION("""COMPUTED_VALUE"""),"MUNICIPALIDAD DISTRITAL")</f>
        <v>MUNICIPALIDAD DISTRITAL</v>
      </c>
      <c r="C326" s="25" t="str">
        <f ca="1">IFERROR(__xludf.DUMMYFUNCTION("""COMPUTED_VALUE"""),"MUNICIPALIDAD DISTRITAL DE CURASCO")</f>
        <v>MUNICIPALIDAD DISTRITAL DE CURASCO</v>
      </c>
      <c r="D326" s="25" t="str">
        <f ca="1">IFERROR(__xludf.DUMMYFUNCTION("""COMPUTED_VALUE"""),"CUZCO")</f>
        <v>CUZCO</v>
      </c>
      <c r="E326" s="25" t="str">
        <f ca="1">IFERROR(__xludf.DUMMYFUNCTION("""COMPUTED_VALUE"""),"APURÍMAC")</f>
        <v>APURÍMAC</v>
      </c>
      <c r="F326" s="25" t="str">
        <f ca="1">IFERROR(__xludf.DUMMYFUNCTION("""COMPUTED_VALUE"""),"GRAU")</f>
        <v>GRAU</v>
      </c>
      <c r="G326" s="25" t="str">
        <f ca="1">IFERROR(__xludf.DUMMYFUNCTION("""COMPUTED_VALUE"""),"CURASCO")</f>
        <v>CURASCO</v>
      </c>
      <c r="H326" s="25" t="str">
        <f ca="1">IFERROR(__xludf.DUMMYFUNCTION("""COMPUTED_VALUE"""),"RURAL")</f>
        <v>RURAL</v>
      </c>
      <c r="I326" s="25" t="str">
        <f ca="1">IFERROR(__xludf.DUMMYFUNCTION("""COMPUTED_VALUE"""),"Prioridad 5")</f>
        <v>Prioridad 5</v>
      </c>
      <c r="J326" s="43" t="s">
        <v>262</v>
      </c>
    </row>
    <row r="327" spans="2:10">
      <c r="B327" s="25" t="str">
        <f ca="1">IFERROR(__xludf.DUMMYFUNCTION("""COMPUTED_VALUE"""),"MUNICIPALIDAD DISTRITAL")</f>
        <v>MUNICIPALIDAD DISTRITAL</v>
      </c>
      <c r="C327" s="25" t="str">
        <f ca="1">IFERROR(__xludf.DUMMYFUNCTION("""COMPUTED_VALUE"""),"MUNICIPALIDAD DISTRITAL DE CURPAHUASI")</f>
        <v>MUNICIPALIDAD DISTRITAL DE CURPAHUASI</v>
      </c>
      <c r="D327" s="25" t="str">
        <f ca="1">IFERROR(__xludf.DUMMYFUNCTION("""COMPUTED_VALUE"""),"CUZCO")</f>
        <v>CUZCO</v>
      </c>
      <c r="E327" s="25" t="str">
        <f ca="1">IFERROR(__xludf.DUMMYFUNCTION("""COMPUTED_VALUE"""),"APURÍMAC")</f>
        <v>APURÍMAC</v>
      </c>
      <c r="F327" s="25" t="str">
        <f ca="1">IFERROR(__xludf.DUMMYFUNCTION("""COMPUTED_VALUE"""),"GRAU")</f>
        <v>GRAU</v>
      </c>
      <c r="G327" s="25" t="str">
        <f ca="1">IFERROR(__xludf.DUMMYFUNCTION("""COMPUTED_VALUE"""),"CURPAHUASI")</f>
        <v>CURPAHUASI</v>
      </c>
      <c r="H327" s="25" t="str">
        <f ca="1">IFERROR(__xludf.DUMMYFUNCTION("""COMPUTED_VALUE"""),"RURAL")</f>
        <v>RURAL</v>
      </c>
      <c r="I327" s="25" t="str">
        <f ca="1">IFERROR(__xludf.DUMMYFUNCTION("""COMPUTED_VALUE"""),"Prioridad 5")</f>
        <v>Prioridad 5</v>
      </c>
      <c r="J327" s="43" t="s">
        <v>262</v>
      </c>
    </row>
    <row r="328" spans="2:10">
      <c r="B328" s="25" t="str">
        <f ca="1">IFERROR(__xludf.DUMMYFUNCTION("""COMPUTED_VALUE"""),"MUNICIPALIDAD DISTRITAL")</f>
        <v>MUNICIPALIDAD DISTRITAL</v>
      </c>
      <c r="C328" s="25" t="str">
        <f ca="1">IFERROR(__xludf.DUMMYFUNCTION("""COMPUTED_VALUE"""),"MUNICIPALIDAD DISTRITAL DE GAMARRA")</f>
        <v>MUNICIPALIDAD DISTRITAL DE GAMARRA</v>
      </c>
      <c r="D328" s="25" t="str">
        <f ca="1">IFERROR(__xludf.DUMMYFUNCTION("""COMPUTED_VALUE"""),"CUZCO")</f>
        <v>CUZCO</v>
      </c>
      <c r="E328" s="25" t="str">
        <f ca="1">IFERROR(__xludf.DUMMYFUNCTION("""COMPUTED_VALUE"""),"APURÍMAC")</f>
        <v>APURÍMAC</v>
      </c>
      <c r="F328" s="25" t="str">
        <f ca="1">IFERROR(__xludf.DUMMYFUNCTION("""COMPUTED_VALUE"""),"GRAU")</f>
        <v>GRAU</v>
      </c>
      <c r="G328" s="25" t="str">
        <f ca="1">IFERROR(__xludf.DUMMYFUNCTION("""COMPUTED_VALUE"""),"GAMARRA")</f>
        <v>GAMARRA</v>
      </c>
      <c r="H328" s="25" t="str">
        <f ca="1">IFERROR(__xludf.DUMMYFUNCTION("""COMPUTED_VALUE"""),"RURAL")</f>
        <v>RURAL</v>
      </c>
      <c r="I328" s="25" t="str">
        <f ca="1">IFERROR(__xludf.DUMMYFUNCTION("""COMPUTED_VALUE"""),"Prioridad 5")</f>
        <v>Prioridad 5</v>
      </c>
      <c r="J328" s="43" t="s">
        <v>262</v>
      </c>
    </row>
    <row r="329" spans="2:10">
      <c r="B329" s="25" t="str">
        <f ca="1">IFERROR(__xludf.DUMMYFUNCTION("""COMPUTED_VALUE"""),"MUNICIPALIDAD DISTRITAL")</f>
        <v>MUNICIPALIDAD DISTRITAL</v>
      </c>
      <c r="C329" s="25" t="str">
        <f ca="1">IFERROR(__xludf.DUMMYFUNCTION("""COMPUTED_VALUE"""),"MUNICIPALIDAD DISTRITAL DE HUAYLLATI")</f>
        <v>MUNICIPALIDAD DISTRITAL DE HUAYLLATI</v>
      </c>
      <c r="D329" s="25" t="str">
        <f ca="1">IFERROR(__xludf.DUMMYFUNCTION("""COMPUTED_VALUE"""),"CUZCO")</f>
        <v>CUZCO</v>
      </c>
      <c r="E329" s="25" t="str">
        <f ca="1">IFERROR(__xludf.DUMMYFUNCTION("""COMPUTED_VALUE"""),"APURÍMAC")</f>
        <v>APURÍMAC</v>
      </c>
      <c r="F329" s="25" t="str">
        <f ca="1">IFERROR(__xludf.DUMMYFUNCTION("""COMPUTED_VALUE"""),"GRAU")</f>
        <v>GRAU</v>
      </c>
      <c r="G329" s="25" t="str">
        <f ca="1">IFERROR(__xludf.DUMMYFUNCTION("""COMPUTED_VALUE"""),"HUAYLLATI")</f>
        <v>HUAYLLATI</v>
      </c>
      <c r="H329" s="25" t="str">
        <f ca="1">IFERROR(__xludf.DUMMYFUNCTION("""COMPUTED_VALUE"""),"RURAL")</f>
        <v>RURAL</v>
      </c>
      <c r="I329" s="25" t="str">
        <f ca="1">IFERROR(__xludf.DUMMYFUNCTION("""COMPUTED_VALUE"""),"Prioridad 5")</f>
        <v>Prioridad 5</v>
      </c>
      <c r="J329" s="43" t="s">
        <v>262</v>
      </c>
    </row>
    <row r="330" spans="2:10">
      <c r="B330" s="25" t="str">
        <f ca="1">IFERROR(__xludf.DUMMYFUNCTION("""COMPUTED_VALUE"""),"MUNICIPALIDAD DISTRITAL")</f>
        <v>MUNICIPALIDAD DISTRITAL</v>
      </c>
      <c r="C330" s="25" t="str">
        <f ca="1">IFERROR(__xludf.DUMMYFUNCTION("""COMPUTED_VALUE"""),"MUNICIPALIDAD DISTRITAL DE MAMARA")</f>
        <v>MUNICIPALIDAD DISTRITAL DE MAMARA</v>
      </c>
      <c r="D330" s="25" t="str">
        <f ca="1">IFERROR(__xludf.DUMMYFUNCTION("""COMPUTED_VALUE"""),"CUZCO")</f>
        <v>CUZCO</v>
      </c>
      <c r="E330" s="25" t="str">
        <f ca="1">IFERROR(__xludf.DUMMYFUNCTION("""COMPUTED_VALUE"""),"APURÍMAC")</f>
        <v>APURÍMAC</v>
      </c>
      <c r="F330" s="25" t="str">
        <f ca="1">IFERROR(__xludf.DUMMYFUNCTION("""COMPUTED_VALUE"""),"GRAU")</f>
        <v>GRAU</v>
      </c>
      <c r="G330" s="25" t="str">
        <f ca="1">IFERROR(__xludf.DUMMYFUNCTION("""COMPUTED_VALUE"""),"MAMARA")</f>
        <v>MAMARA</v>
      </c>
      <c r="H330" s="25" t="str">
        <f ca="1">IFERROR(__xludf.DUMMYFUNCTION("""COMPUTED_VALUE"""),"RURAL")</f>
        <v>RURAL</v>
      </c>
      <c r="I330" s="25" t="str">
        <f ca="1">IFERROR(__xludf.DUMMYFUNCTION("""COMPUTED_VALUE"""),"Prioridad 3")</f>
        <v>Prioridad 3</v>
      </c>
      <c r="J330" s="43" t="s">
        <v>262</v>
      </c>
    </row>
    <row r="331" spans="2:10">
      <c r="B331" s="25" t="str">
        <f ca="1">IFERROR(__xludf.DUMMYFUNCTION("""COMPUTED_VALUE"""),"MUNICIPALIDAD DISTRITAL")</f>
        <v>MUNICIPALIDAD DISTRITAL</v>
      </c>
      <c r="C331" s="25" t="str">
        <f ca="1">IFERROR(__xludf.DUMMYFUNCTION("""COMPUTED_VALUE"""),"MUNICIPALIDAD DISTRITAL DE MICAELA BASTIDAS")</f>
        <v>MUNICIPALIDAD DISTRITAL DE MICAELA BASTIDAS</v>
      </c>
      <c r="D331" s="25" t="str">
        <f ca="1">IFERROR(__xludf.DUMMYFUNCTION("""COMPUTED_VALUE"""),"CUZCO")</f>
        <v>CUZCO</v>
      </c>
      <c r="E331" s="25" t="str">
        <f ca="1">IFERROR(__xludf.DUMMYFUNCTION("""COMPUTED_VALUE"""),"APURÍMAC")</f>
        <v>APURÍMAC</v>
      </c>
      <c r="F331" s="25" t="str">
        <f ca="1">IFERROR(__xludf.DUMMYFUNCTION("""COMPUTED_VALUE"""),"GRAU")</f>
        <v>GRAU</v>
      </c>
      <c r="G331" s="25" t="str">
        <f ca="1">IFERROR(__xludf.DUMMYFUNCTION("""COMPUTED_VALUE"""),"MICAELA BASTIDAS")</f>
        <v>MICAELA BASTIDAS</v>
      </c>
      <c r="H331" s="25" t="str">
        <f ca="1">IFERROR(__xludf.DUMMYFUNCTION("""COMPUTED_VALUE"""),"RURAL")</f>
        <v>RURAL</v>
      </c>
      <c r="I331" s="25" t="str">
        <f ca="1">IFERROR(__xludf.DUMMYFUNCTION("""COMPUTED_VALUE"""),"Prioridad 5")</f>
        <v>Prioridad 5</v>
      </c>
      <c r="J331" s="43" t="s">
        <v>262</v>
      </c>
    </row>
    <row r="332" spans="2:10">
      <c r="B332" s="25" t="str">
        <f ca="1">IFERROR(__xludf.DUMMYFUNCTION("""COMPUTED_VALUE"""),"MUNICIPALIDAD DISTRITAL")</f>
        <v>MUNICIPALIDAD DISTRITAL</v>
      </c>
      <c r="C332" s="25" t="str">
        <f ca="1">IFERROR(__xludf.DUMMYFUNCTION("""COMPUTED_VALUE"""),"MUNICIPALIDAD DISTRITAL DE PATAYPAMPA")</f>
        <v>MUNICIPALIDAD DISTRITAL DE PATAYPAMPA</v>
      </c>
      <c r="D332" s="25" t="str">
        <f ca="1">IFERROR(__xludf.DUMMYFUNCTION("""COMPUTED_VALUE"""),"CUZCO")</f>
        <v>CUZCO</v>
      </c>
      <c r="E332" s="25" t="str">
        <f ca="1">IFERROR(__xludf.DUMMYFUNCTION("""COMPUTED_VALUE"""),"APURÍMAC")</f>
        <v>APURÍMAC</v>
      </c>
      <c r="F332" s="25" t="str">
        <f ca="1">IFERROR(__xludf.DUMMYFUNCTION("""COMPUTED_VALUE"""),"GRAU")</f>
        <v>GRAU</v>
      </c>
      <c r="G332" s="25" t="str">
        <f ca="1">IFERROR(__xludf.DUMMYFUNCTION("""COMPUTED_VALUE"""),"PATAYPAMPA")</f>
        <v>PATAYPAMPA</v>
      </c>
      <c r="H332" s="25" t="str">
        <f ca="1">IFERROR(__xludf.DUMMYFUNCTION("""COMPUTED_VALUE"""),"RURAL")</f>
        <v>RURAL</v>
      </c>
      <c r="I332" s="25" t="str">
        <f ca="1">IFERROR(__xludf.DUMMYFUNCTION("""COMPUTED_VALUE"""),"Prioridad 3")</f>
        <v>Prioridad 3</v>
      </c>
      <c r="J332" s="43" t="s">
        <v>262</v>
      </c>
    </row>
    <row r="333" spans="2:10">
      <c r="B333" s="25" t="str">
        <f ca="1">IFERROR(__xludf.DUMMYFUNCTION("""COMPUTED_VALUE"""),"MUNICIPALIDAD DISTRITAL")</f>
        <v>MUNICIPALIDAD DISTRITAL</v>
      </c>
      <c r="C333" s="25" t="str">
        <f ca="1">IFERROR(__xludf.DUMMYFUNCTION("""COMPUTED_VALUE"""),"MUNICIPALIDAD DISTRITAL DE PROGRESO")</f>
        <v>MUNICIPALIDAD DISTRITAL DE PROGRESO</v>
      </c>
      <c r="D333" s="25" t="str">
        <f ca="1">IFERROR(__xludf.DUMMYFUNCTION("""COMPUTED_VALUE"""),"CUZCO")</f>
        <v>CUZCO</v>
      </c>
      <c r="E333" s="25" t="str">
        <f ca="1">IFERROR(__xludf.DUMMYFUNCTION("""COMPUTED_VALUE"""),"APURÍMAC")</f>
        <v>APURÍMAC</v>
      </c>
      <c r="F333" s="25" t="str">
        <f ca="1">IFERROR(__xludf.DUMMYFUNCTION("""COMPUTED_VALUE"""),"GRAU")</f>
        <v>GRAU</v>
      </c>
      <c r="G333" s="25" t="str">
        <f ca="1">IFERROR(__xludf.DUMMYFUNCTION("""COMPUTED_VALUE"""),"PROGRESO")</f>
        <v>PROGRESO</v>
      </c>
      <c r="H333" s="25" t="str">
        <f ca="1">IFERROR(__xludf.DUMMYFUNCTION("""COMPUTED_VALUE"""),"RURAL")</f>
        <v>RURAL</v>
      </c>
      <c r="I333" s="25" t="str">
        <f ca="1">IFERROR(__xludf.DUMMYFUNCTION("""COMPUTED_VALUE"""),"Prioridad 3")</f>
        <v>Prioridad 3</v>
      </c>
      <c r="J333" s="43" t="s">
        <v>262</v>
      </c>
    </row>
    <row r="334" spans="2:10">
      <c r="B334" s="25" t="str">
        <f ca="1">IFERROR(__xludf.DUMMYFUNCTION("""COMPUTED_VALUE"""),"MUNICIPALIDAD DISTRITAL")</f>
        <v>MUNICIPALIDAD DISTRITAL</v>
      </c>
      <c r="C334" s="25" t="str">
        <f ca="1">IFERROR(__xludf.DUMMYFUNCTION("""COMPUTED_VALUE"""),"MUNICIPALIDAD DISTRITAL DE SAN ANTONIO EN GRAU")</f>
        <v>MUNICIPALIDAD DISTRITAL DE SAN ANTONIO EN GRAU</v>
      </c>
      <c r="D334" s="25" t="str">
        <f ca="1">IFERROR(__xludf.DUMMYFUNCTION("""COMPUTED_VALUE"""),"CUZCO")</f>
        <v>CUZCO</v>
      </c>
      <c r="E334" s="25" t="str">
        <f ca="1">IFERROR(__xludf.DUMMYFUNCTION("""COMPUTED_VALUE"""),"APURÍMAC")</f>
        <v>APURÍMAC</v>
      </c>
      <c r="F334" s="25" t="str">
        <f ca="1">IFERROR(__xludf.DUMMYFUNCTION("""COMPUTED_VALUE"""),"GRAU")</f>
        <v>GRAU</v>
      </c>
      <c r="G334" s="25" t="str">
        <f ca="1">IFERROR(__xludf.DUMMYFUNCTION("""COMPUTED_VALUE"""),"SAN ANTONIO")</f>
        <v>SAN ANTONIO</v>
      </c>
      <c r="H334" s="25" t="str">
        <f ca="1">IFERROR(__xludf.DUMMYFUNCTION("""COMPUTED_VALUE"""),"RURAL")</f>
        <v>RURAL</v>
      </c>
      <c r="I334" s="25" t="str">
        <f ca="1">IFERROR(__xludf.DUMMYFUNCTION("""COMPUTED_VALUE"""),"Prioridad 2")</f>
        <v>Prioridad 2</v>
      </c>
      <c r="J334" s="43" t="s">
        <v>262</v>
      </c>
    </row>
    <row r="335" spans="2:10">
      <c r="B335" s="25" t="str">
        <f ca="1">IFERROR(__xludf.DUMMYFUNCTION("""COMPUTED_VALUE"""),"MUNICIPALIDAD DISTRITAL")</f>
        <v>MUNICIPALIDAD DISTRITAL</v>
      </c>
      <c r="C335" s="25" t="str">
        <f ca="1">IFERROR(__xludf.DUMMYFUNCTION("""COMPUTED_VALUE"""),"MUNICIPALIDAD DISTRITAL DE SANTA ROSA EN GRAU")</f>
        <v>MUNICIPALIDAD DISTRITAL DE SANTA ROSA EN GRAU</v>
      </c>
      <c r="D335" s="25" t="str">
        <f ca="1">IFERROR(__xludf.DUMMYFUNCTION("""COMPUTED_VALUE"""),"CUZCO")</f>
        <v>CUZCO</v>
      </c>
      <c r="E335" s="25" t="str">
        <f ca="1">IFERROR(__xludf.DUMMYFUNCTION("""COMPUTED_VALUE"""),"APURÍMAC")</f>
        <v>APURÍMAC</v>
      </c>
      <c r="F335" s="25" t="str">
        <f ca="1">IFERROR(__xludf.DUMMYFUNCTION("""COMPUTED_VALUE"""),"GRAU")</f>
        <v>GRAU</v>
      </c>
      <c r="G335" s="25" t="str">
        <f ca="1">IFERROR(__xludf.DUMMYFUNCTION("""COMPUTED_VALUE"""),"SANTA ROSA")</f>
        <v>SANTA ROSA</v>
      </c>
      <c r="H335" s="25" t="str">
        <f ca="1">IFERROR(__xludf.DUMMYFUNCTION("""COMPUTED_VALUE"""),"RURAL")</f>
        <v>RURAL</v>
      </c>
      <c r="I335" s="25" t="str">
        <f ca="1">IFERROR(__xludf.DUMMYFUNCTION("""COMPUTED_VALUE"""),"Prioridad 3")</f>
        <v>Prioridad 3</v>
      </c>
      <c r="J335" s="43" t="s">
        <v>262</v>
      </c>
    </row>
    <row r="336" spans="2:10">
      <c r="B336" s="25" t="str">
        <f ca="1">IFERROR(__xludf.DUMMYFUNCTION("""COMPUTED_VALUE"""),"MUNICIPALIDAD DISTRITAL")</f>
        <v>MUNICIPALIDAD DISTRITAL</v>
      </c>
      <c r="C336" s="25" t="str">
        <f ca="1">IFERROR(__xludf.DUMMYFUNCTION("""COMPUTED_VALUE"""),"MUNICIPALIDAD DISTRITAL DE TURPAY")</f>
        <v>MUNICIPALIDAD DISTRITAL DE TURPAY</v>
      </c>
      <c r="D336" s="25" t="str">
        <f ca="1">IFERROR(__xludf.DUMMYFUNCTION("""COMPUTED_VALUE"""),"CUZCO")</f>
        <v>CUZCO</v>
      </c>
      <c r="E336" s="25" t="str">
        <f ca="1">IFERROR(__xludf.DUMMYFUNCTION("""COMPUTED_VALUE"""),"APURÍMAC")</f>
        <v>APURÍMAC</v>
      </c>
      <c r="F336" s="25" t="str">
        <f ca="1">IFERROR(__xludf.DUMMYFUNCTION("""COMPUTED_VALUE"""),"GRAU")</f>
        <v>GRAU</v>
      </c>
      <c r="G336" s="25" t="str">
        <f ca="1">IFERROR(__xludf.DUMMYFUNCTION("""COMPUTED_VALUE"""),"TURPAY")</f>
        <v>TURPAY</v>
      </c>
      <c r="H336" s="25" t="str">
        <f ca="1">IFERROR(__xludf.DUMMYFUNCTION("""COMPUTED_VALUE"""),"RURAL")</f>
        <v>RURAL</v>
      </c>
      <c r="I336" s="25" t="str">
        <f ca="1">IFERROR(__xludf.DUMMYFUNCTION("""COMPUTED_VALUE"""),"Prioridad 2")</f>
        <v>Prioridad 2</v>
      </c>
      <c r="J336" s="43" t="s">
        <v>262</v>
      </c>
    </row>
    <row r="337" spans="2:10">
      <c r="B337" s="25" t="str">
        <f ca="1">IFERROR(__xludf.DUMMYFUNCTION("""COMPUTED_VALUE"""),"MUNICIPALIDAD DISTRITAL")</f>
        <v>MUNICIPALIDAD DISTRITAL</v>
      </c>
      <c r="C337" s="25" t="str">
        <f ca="1">IFERROR(__xludf.DUMMYFUNCTION("""COMPUTED_VALUE"""),"MUNICIPALIDAD DISTRITAL DE VILCABAMBA EN GRAU")</f>
        <v>MUNICIPALIDAD DISTRITAL DE VILCABAMBA EN GRAU</v>
      </c>
      <c r="D337" s="25" t="str">
        <f ca="1">IFERROR(__xludf.DUMMYFUNCTION("""COMPUTED_VALUE"""),"CUZCO")</f>
        <v>CUZCO</v>
      </c>
      <c r="E337" s="25" t="str">
        <f ca="1">IFERROR(__xludf.DUMMYFUNCTION("""COMPUTED_VALUE"""),"APURÍMAC")</f>
        <v>APURÍMAC</v>
      </c>
      <c r="F337" s="25" t="str">
        <f ca="1">IFERROR(__xludf.DUMMYFUNCTION("""COMPUTED_VALUE"""),"GRAU")</f>
        <v>GRAU</v>
      </c>
      <c r="G337" s="25" t="str">
        <f ca="1">IFERROR(__xludf.DUMMYFUNCTION("""COMPUTED_VALUE"""),"VILCABAMBA")</f>
        <v>VILCABAMBA</v>
      </c>
      <c r="H337" s="25" t="str">
        <f ca="1">IFERROR(__xludf.DUMMYFUNCTION("""COMPUTED_VALUE"""),"RURAL")</f>
        <v>RURAL</v>
      </c>
      <c r="I337" s="25" t="str">
        <f ca="1">IFERROR(__xludf.DUMMYFUNCTION("""COMPUTED_VALUE"""),"Prioridad 2")</f>
        <v>Prioridad 2</v>
      </c>
      <c r="J337" s="43" t="s">
        <v>262</v>
      </c>
    </row>
    <row r="338" spans="2:10">
      <c r="B338" s="25" t="str">
        <f ca="1">IFERROR(__xludf.DUMMYFUNCTION("""COMPUTED_VALUE"""),"MUNICIPALIDAD DISTRITAL")</f>
        <v>MUNICIPALIDAD DISTRITAL</v>
      </c>
      <c r="C338" s="25" t="str">
        <f ca="1">IFERROR(__xludf.DUMMYFUNCTION("""COMPUTED_VALUE"""),"MUNICIPALIDAD DISTRITAL DE VIRUNDO")</f>
        <v>MUNICIPALIDAD DISTRITAL DE VIRUNDO</v>
      </c>
      <c r="D338" s="25" t="str">
        <f ca="1">IFERROR(__xludf.DUMMYFUNCTION("""COMPUTED_VALUE"""),"CUZCO")</f>
        <v>CUZCO</v>
      </c>
      <c r="E338" s="25" t="str">
        <f ca="1">IFERROR(__xludf.DUMMYFUNCTION("""COMPUTED_VALUE"""),"APURÍMAC")</f>
        <v>APURÍMAC</v>
      </c>
      <c r="F338" s="25" t="str">
        <f ca="1">IFERROR(__xludf.DUMMYFUNCTION("""COMPUTED_VALUE"""),"GRAU")</f>
        <v>GRAU</v>
      </c>
      <c r="G338" s="25" t="str">
        <f ca="1">IFERROR(__xludf.DUMMYFUNCTION("""COMPUTED_VALUE"""),"VIRUNDO")</f>
        <v>VIRUNDO</v>
      </c>
      <c r="H338" s="25" t="str">
        <f ca="1">IFERROR(__xludf.DUMMYFUNCTION("""COMPUTED_VALUE"""),"RURAL")</f>
        <v>RURAL</v>
      </c>
      <c r="I338" s="25" t="str">
        <f ca="1">IFERROR(__xludf.DUMMYFUNCTION("""COMPUTED_VALUE"""),"Prioridad 4")</f>
        <v>Prioridad 4</v>
      </c>
      <c r="J338" s="43" t="s">
        <v>262</v>
      </c>
    </row>
    <row r="339" spans="2:10">
      <c r="B339" s="25" t="str">
        <f ca="1">IFERROR(__xludf.DUMMYFUNCTION("""COMPUTED_VALUE"""),"MUNICIPALIDAD DISTRITAL")</f>
        <v>MUNICIPALIDAD DISTRITAL</v>
      </c>
      <c r="C339" s="25" t="str">
        <f ca="1">IFERROR(__xludf.DUMMYFUNCTION("""COMPUTED_VALUE"""),"MUNICIPALIDAD DISTRITAL DE ALTO SELVA ALEGRE")</f>
        <v>MUNICIPALIDAD DISTRITAL DE ALTO SELVA ALEGRE</v>
      </c>
      <c r="D339" s="25" t="str">
        <f ca="1">IFERROR(__xludf.DUMMYFUNCTION("""COMPUTED_VALUE"""),"AREQUIPA")</f>
        <v>AREQUIPA</v>
      </c>
      <c r="E339" s="25" t="str">
        <f ca="1">IFERROR(__xludf.DUMMYFUNCTION("""COMPUTED_VALUE"""),"AREQUIPA")</f>
        <v>AREQUIPA</v>
      </c>
      <c r="F339" s="25" t="str">
        <f ca="1">IFERROR(__xludf.DUMMYFUNCTION("""COMPUTED_VALUE"""),"AREQUIPA")</f>
        <v>AREQUIPA</v>
      </c>
      <c r="G339" s="25" t="str">
        <f ca="1">IFERROR(__xludf.DUMMYFUNCTION("""COMPUTED_VALUE"""),"ALTO SELVA ALEGRE")</f>
        <v>ALTO SELVA ALEGRE</v>
      </c>
      <c r="H339" s="25" t="str">
        <f ca="1">IFERROR(__xludf.DUMMYFUNCTION("""COMPUTED_VALUE"""),"URBANO")</f>
        <v>URBANO</v>
      </c>
      <c r="I339" s="25" t="str">
        <f ca="1">IFERROR(__xludf.DUMMYFUNCTION("""COMPUTED_VALUE"""),"Prioridad 1")</f>
        <v>Prioridad 1</v>
      </c>
      <c r="J339" s="43" t="s">
        <v>263</v>
      </c>
    </row>
    <row r="340" spans="2:10">
      <c r="B340" s="25" t="str">
        <f ca="1">IFERROR(__xludf.DUMMYFUNCTION("""COMPUTED_VALUE"""),"MUNICIPALIDAD PROVINCIAL")</f>
        <v>MUNICIPALIDAD PROVINCIAL</v>
      </c>
      <c r="C340" s="25" t="str">
        <f ca="1">IFERROR(__xludf.DUMMYFUNCTION("""COMPUTED_VALUE"""),"MUNICIPALIDAD PROVINCIAL DE AREQUIPA")</f>
        <v>MUNICIPALIDAD PROVINCIAL DE AREQUIPA</v>
      </c>
      <c r="D340" s="25" t="str">
        <f ca="1">IFERROR(__xludf.DUMMYFUNCTION("""COMPUTED_VALUE"""),"AREQUIPA")</f>
        <v>AREQUIPA</v>
      </c>
      <c r="E340" s="25" t="str">
        <f ca="1">IFERROR(__xludf.DUMMYFUNCTION("""COMPUTED_VALUE"""),"AREQUIPA")</f>
        <v>AREQUIPA</v>
      </c>
      <c r="F340" s="25" t="str">
        <f ca="1">IFERROR(__xludf.DUMMYFUNCTION("""COMPUTED_VALUE"""),"AREQUIPA")</f>
        <v>AREQUIPA</v>
      </c>
      <c r="G340" s="25" t="str">
        <f ca="1">IFERROR(__xludf.DUMMYFUNCTION("""COMPUTED_VALUE"""),"AREQUIPA")</f>
        <v>AREQUIPA</v>
      </c>
      <c r="H340" s="25" t="str">
        <f ca="1">IFERROR(__xludf.DUMMYFUNCTION("""COMPUTED_VALUE"""),"URBANO")</f>
        <v>URBANO</v>
      </c>
      <c r="I340" s="25" t="str">
        <f ca="1">IFERROR(__xludf.DUMMYFUNCTION("""COMPUTED_VALUE"""),"Prioridad 1")</f>
        <v>Prioridad 1</v>
      </c>
      <c r="J340" s="43" t="s">
        <v>263</v>
      </c>
    </row>
    <row r="341" spans="2:10">
      <c r="B341" s="25" t="str">
        <f ca="1">IFERROR(__xludf.DUMMYFUNCTION("""COMPUTED_VALUE"""),"MUNICIPALIDAD DISTRITAL")</f>
        <v>MUNICIPALIDAD DISTRITAL</v>
      </c>
      <c r="C341" s="25" t="str">
        <f ca="1">IFERROR(__xludf.DUMMYFUNCTION("""COMPUTED_VALUE"""),"MUNICIPALIDAD DISTRITAL DE CAYMA")</f>
        <v>MUNICIPALIDAD DISTRITAL DE CAYMA</v>
      </c>
      <c r="D341" s="25" t="str">
        <f ca="1">IFERROR(__xludf.DUMMYFUNCTION("""COMPUTED_VALUE"""),"AREQUIPA")</f>
        <v>AREQUIPA</v>
      </c>
      <c r="E341" s="25" t="str">
        <f ca="1">IFERROR(__xludf.DUMMYFUNCTION("""COMPUTED_VALUE"""),"AREQUIPA")</f>
        <v>AREQUIPA</v>
      </c>
      <c r="F341" s="25" t="str">
        <f ca="1">IFERROR(__xludf.DUMMYFUNCTION("""COMPUTED_VALUE"""),"AREQUIPA")</f>
        <v>AREQUIPA</v>
      </c>
      <c r="G341" s="25" t="str">
        <f ca="1">IFERROR(__xludf.DUMMYFUNCTION("""COMPUTED_VALUE"""),"CAYMA")</f>
        <v>CAYMA</v>
      </c>
      <c r="H341" s="25" t="str">
        <f ca="1">IFERROR(__xludf.DUMMYFUNCTION("""COMPUTED_VALUE"""),"URBANO")</f>
        <v>URBANO</v>
      </c>
      <c r="I341" s="25" t="str">
        <f ca="1">IFERROR(__xludf.DUMMYFUNCTION("""COMPUTED_VALUE"""),"Prioridad 1")</f>
        <v>Prioridad 1</v>
      </c>
      <c r="J341" s="43" t="s">
        <v>263</v>
      </c>
    </row>
    <row r="342" spans="2:10">
      <c r="B342" s="25" t="str">
        <f ca="1">IFERROR(__xludf.DUMMYFUNCTION("""COMPUTED_VALUE"""),"MUNICIPALIDAD DISTRITAL")</f>
        <v>MUNICIPALIDAD DISTRITAL</v>
      </c>
      <c r="C342" s="25" t="str">
        <f ca="1">IFERROR(__xludf.DUMMYFUNCTION("""COMPUTED_VALUE"""),"MUNICIPALIDAD DISTRITAL DE CERRO COLORADO")</f>
        <v>MUNICIPALIDAD DISTRITAL DE CERRO COLORADO</v>
      </c>
      <c r="D342" s="25" t="str">
        <f ca="1">IFERROR(__xludf.DUMMYFUNCTION("""COMPUTED_VALUE"""),"AREQUIPA")</f>
        <v>AREQUIPA</v>
      </c>
      <c r="E342" s="25" t="str">
        <f ca="1">IFERROR(__xludf.DUMMYFUNCTION("""COMPUTED_VALUE"""),"AREQUIPA")</f>
        <v>AREQUIPA</v>
      </c>
      <c r="F342" s="25" t="str">
        <f ca="1">IFERROR(__xludf.DUMMYFUNCTION("""COMPUTED_VALUE"""),"AREQUIPA")</f>
        <v>AREQUIPA</v>
      </c>
      <c r="G342" s="25" t="str">
        <f ca="1">IFERROR(__xludf.DUMMYFUNCTION("""COMPUTED_VALUE"""),"CERRO COLORADO")</f>
        <v>CERRO COLORADO</v>
      </c>
      <c r="H342" s="25" t="str">
        <f ca="1">IFERROR(__xludf.DUMMYFUNCTION("""COMPUTED_VALUE"""),"URBANO")</f>
        <v>URBANO</v>
      </c>
      <c r="I342" s="25" t="str">
        <f ca="1">IFERROR(__xludf.DUMMYFUNCTION("""COMPUTED_VALUE"""),"Prioridad 1")</f>
        <v>Prioridad 1</v>
      </c>
      <c r="J342" s="43" t="s">
        <v>263</v>
      </c>
    </row>
    <row r="343" spans="2:10">
      <c r="B343" s="25" t="str">
        <f ca="1">IFERROR(__xludf.DUMMYFUNCTION("""COMPUTED_VALUE"""),"MUNICIPALIDAD DISTRITAL")</f>
        <v>MUNICIPALIDAD DISTRITAL</v>
      </c>
      <c r="C343" s="25" t="str">
        <f ca="1">IFERROR(__xludf.DUMMYFUNCTION("""COMPUTED_VALUE"""),"MUNICIPALIDAD DISTRITAL DE CHARACATO")</f>
        <v>MUNICIPALIDAD DISTRITAL DE CHARACATO</v>
      </c>
      <c r="D343" s="25" t="str">
        <f ca="1">IFERROR(__xludf.DUMMYFUNCTION("""COMPUTED_VALUE"""),"AREQUIPA")</f>
        <v>AREQUIPA</v>
      </c>
      <c r="E343" s="25" t="str">
        <f ca="1">IFERROR(__xludf.DUMMYFUNCTION("""COMPUTED_VALUE"""),"AREQUIPA")</f>
        <v>AREQUIPA</v>
      </c>
      <c r="F343" s="25" t="str">
        <f ca="1">IFERROR(__xludf.DUMMYFUNCTION("""COMPUTED_VALUE"""),"AREQUIPA")</f>
        <v>AREQUIPA</v>
      </c>
      <c r="G343" s="25" t="str">
        <f ca="1">IFERROR(__xludf.DUMMYFUNCTION("""COMPUTED_VALUE"""),"CHARACATO")</f>
        <v>CHARACATO</v>
      </c>
      <c r="H343" s="25" t="str">
        <f ca="1">IFERROR(__xludf.DUMMYFUNCTION("""COMPUTED_VALUE"""),"URBANO")</f>
        <v>URBANO</v>
      </c>
      <c r="I343" s="25" t="str">
        <f ca="1">IFERROR(__xludf.DUMMYFUNCTION("""COMPUTED_VALUE"""),"Prioridad 1")</f>
        <v>Prioridad 1</v>
      </c>
      <c r="J343" s="43" t="s">
        <v>263</v>
      </c>
    </row>
    <row r="344" spans="2:10">
      <c r="B344" s="25" t="str">
        <f ca="1">IFERROR(__xludf.DUMMYFUNCTION("""COMPUTED_VALUE"""),"MUNICIPALIDAD DISTRITAL")</f>
        <v>MUNICIPALIDAD DISTRITAL</v>
      </c>
      <c r="C344" s="25" t="str">
        <f ca="1">IFERROR(__xludf.DUMMYFUNCTION("""COMPUTED_VALUE"""),"MUNICIPALIDAD DISTRITAL DE CHIGUATA")</f>
        <v>MUNICIPALIDAD DISTRITAL DE CHIGUATA</v>
      </c>
      <c r="D344" s="25" t="str">
        <f ca="1">IFERROR(__xludf.DUMMYFUNCTION("""COMPUTED_VALUE"""),"AREQUIPA")</f>
        <v>AREQUIPA</v>
      </c>
      <c r="E344" s="25" t="str">
        <f ca="1">IFERROR(__xludf.DUMMYFUNCTION("""COMPUTED_VALUE"""),"AREQUIPA")</f>
        <v>AREQUIPA</v>
      </c>
      <c r="F344" s="25" t="str">
        <f ca="1">IFERROR(__xludf.DUMMYFUNCTION("""COMPUTED_VALUE"""),"AREQUIPA")</f>
        <v>AREQUIPA</v>
      </c>
      <c r="G344" s="25" t="str">
        <f ca="1">IFERROR(__xludf.DUMMYFUNCTION("""COMPUTED_VALUE"""),"CHIGUATA")</f>
        <v>CHIGUATA</v>
      </c>
      <c r="H344" s="25" t="str">
        <f ca="1">IFERROR(__xludf.DUMMYFUNCTION("""COMPUTED_VALUE"""),"URBANO")</f>
        <v>URBANO</v>
      </c>
      <c r="I344" s="25" t="str">
        <f ca="1">IFERROR(__xludf.DUMMYFUNCTION("""COMPUTED_VALUE"""),"Prioridad 1")</f>
        <v>Prioridad 1</v>
      </c>
      <c r="J344" s="43" t="s">
        <v>263</v>
      </c>
    </row>
    <row r="345" spans="2:10">
      <c r="B345" s="25" t="str">
        <f ca="1">IFERROR(__xludf.DUMMYFUNCTION("""COMPUTED_VALUE"""),"MUNICIPALIDAD DISTRITAL")</f>
        <v>MUNICIPALIDAD DISTRITAL</v>
      </c>
      <c r="C345" s="25" t="str">
        <f ca="1">IFERROR(__xludf.DUMMYFUNCTION("""COMPUTED_VALUE"""),"MUNICIPALIDAD DISTRITAL DE JACOBO HUNTER")</f>
        <v>MUNICIPALIDAD DISTRITAL DE JACOBO HUNTER</v>
      </c>
      <c r="D345" s="25" t="str">
        <f ca="1">IFERROR(__xludf.DUMMYFUNCTION("""COMPUTED_VALUE"""),"AREQUIPA")</f>
        <v>AREQUIPA</v>
      </c>
      <c r="E345" s="25" t="str">
        <f ca="1">IFERROR(__xludf.DUMMYFUNCTION("""COMPUTED_VALUE"""),"AREQUIPA")</f>
        <v>AREQUIPA</v>
      </c>
      <c r="F345" s="25" t="str">
        <f ca="1">IFERROR(__xludf.DUMMYFUNCTION("""COMPUTED_VALUE"""),"AREQUIPA")</f>
        <v>AREQUIPA</v>
      </c>
      <c r="G345" s="25" t="str">
        <f ca="1">IFERROR(__xludf.DUMMYFUNCTION("""COMPUTED_VALUE"""),"JACOBO HUNTER")</f>
        <v>JACOBO HUNTER</v>
      </c>
      <c r="H345" s="25" t="str">
        <f ca="1">IFERROR(__xludf.DUMMYFUNCTION("""COMPUTED_VALUE"""),"URBANO")</f>
        <v>URBANO</v>
      </c>
      <c r="I345" s="25" t="str">
        <f ca="1">IFERROR(__xludf.DUMMYFUNCTION("""COMPUTED_VALUE"""),"Prioridad 1")</f>
        <v>Prioridad 1</v>
      </c>
      <c r="J345" s="43" t="s">
        <v>263</v>
      </c>
    </row>
    <row r="346" spans="2:10">
      <c r="B346" s="25" t="str">
        <f ca="1">IFERROR(__xludf.DUMMYFUNCTION("""COMPUTED_VALUE"""),"MUNICIPALIDAD DISTRITAL")</f>
        <v>MUNICIPALIDAD DISTRITAL</v>
      </c>
      <c r="C346" s="25" t="str">
        <f ca="1">IFERROR(__xludf.DUMMYFUNCTION("""COMPUTED_VALUE"""),"MUNICIPALIDAD DISTRITAL DE JOSE LUIS BUSTAMANTE Y RIVERO")</f>
        <v>MUNICIPALIDAD DISTRITAL DE JOSE LUIS BUSTAMANTE Y RIVERO</v>
      </c>
      <c r="D346" s="25" t="str">
        <f ca="1">IFERROR(__xludf.DUMMYFUNCTION("""COMPUTED_VALUE"""),"AREQUIPA")</f>
        <v>AREQUIPA</v>
      </c>
      <c r="E346" s="25" t="str">
        <f ca="1">IFERROR(__xludf.DUMMYFUNCTION("""COMPUTED_VALUE"""),"AREQUIPA")</f>
        <v>AREQUIPA</v>
      </c>
      <c r="F346" s="25" t="str">
        <f ca="1">IFERROR(__xludf.DUMMYFUNCTION("""COMPUTED_VALUE"""),"AREQUIPA")</f>
        <v>AREQUIPA</v>
      </c>
      <c r="G346" s="25" t="str">
        <f ca="1">IFERROR(__xludf.DUMMYFUNCTION("""COMPUTED_VALUE"""),"JOSE LUIS BUSTAMANTE Y RIVERO")</f>
        <v>JOSE LUIS BUSTAMANTE Y RIVERO</v>
      </c>
      <c r="H346" s="25" t="str">
        <f ca="1">IFERROR(__xludf.DUMMYFUNCTION("""COMPUTED_VALUE"""),"URBANO")</f>
        <v>URBANO</v>
      </c>
      <c r="I346" s="25" t="str">
        <f ca="1">IFERROR(__xludf.DUMMYFUNCTION("""COMPUTED_VALUE"""),"Prioridad 1")</f>
        <v>Prioridad 1</v>
      </c>
      <c r="J346" s="43" t="s">
        <v>263</v>
      </c>
    </row>
    <row r="347" spans="2:10">
      <c r="B347" s="25" t="str">
        <f ca="1">IFERROR(__xludf.DUMMYFUNCTION("""COMPUTED_VALUE"""),"MUNICIPALIDAD DISTRITAL")</f>
        <v>MUNICIPALIDAD DISTRITAL</v>
      </c>
      <c r="C347" s="25" t="str">
        <f ca="1">IFERROR(__xludf.DUMMYFUNCTION("""COMPUTED_VALUE"""),"MUNICIPALIDAD DISTRITAL DE LA JOYA")</f>
        <v>MUNICIPALIDAD DISTRITAL DE LA JOYA</v>
      </c>
      <c r="D347" s="25" t="str">
        <f ca="1">IFERROR(__xludf.DUMMYFUNCTION("""COMPUTED_VALUE"""),"AREQUIPA")</f>
        <v>AREQUIPA</v>
      </c>
      <c r="E347" s="25" t="str">
        <f ca="1">IFERROR(__xludf.DUMMYFUNCTION("""COMPUTED_VALUE"""),"AREQUIPA")</f>
        <v>AREQUIPA</v>
      </c>
      <c r="F347" s="25" t="str">
        <f ca="1">IFERROR(__xludf.DUMMYFUNCTION("""COMPUTED_VALUE"""),"AREQUIPA")</f>
        <v>AREQUIPA</v>
      </c>
      <c r="G347" s="25" t="str">
        <f ca="1">IFERROR(__xludf.DUMMYFUNCTION("""COMPUTED_VALUE"""),"LA JOYA")</f>
        <v>LA JOYA</v>
      </c>
      <c r="H347" s="25" t="str">
        <f ca="1">IFERROR(__xludf.DUMMYFUNCTION("""COMPUTED_VALUE"""),"URBANO")</f>
        <v>URBANO</v>
      </c>
      <c r="I347" s="25" t="str">
        <f ca="1">IFERROR(__xludf.DUMMYFUNCTION("""COMPUTED_VALUE"""),"Prioridad 1")</f>
        <v>Prioridad 1</v>
      </c>
      <c r="J347" s="43" t="s">
        <v>263</v>
      </c>
    </row>
    <row r="348" spans="2:10">
      <c r="B348" s="25" t="str">
        <f ca="1">IFERROR(__xludf.DUMMYFUNCTION("""COMPUTED_VALUE"""),"MUNICIPALIDAD DISTRITAL")</f>
        <v>MUNICIPALIDAD DISTRITAL</v>
      </c>
      <c r="C348" s="25" t="str">
        <f ca="1">IFERROR(__xludf.DUMMYFUNCTION("""COMPUTED_VALUE"""),"MUNICIPALIDAD DISTRITAL DE MARIANO MELGAR")</f>
        <v>MUNICIPALIDAD DISTRITAL DE MARIANO MELGAR</v>
      </c>
      <c r="D348" s="25" t="str">
        <f ca="1">IFERROR(__xludf.DUMMYFUNCTION("""COMPUTED_VALUE"""),"AREQUIPA")</f>
        <v>AREQUIPA</v>
      </c>
      <c r="E348" s="25" t="str">
        <f ca="1">IFERROR(__xludf.DUMMYFUNCTION("""COMPUTED_VALUE"""),"AREQUIPA")</f>
        <v>AREQUIPA</v>
      </c>
      <c r="F348" s="25" t="str">
        <f ca="1">IFERROR(__xludf.DUMMYFUNCTION("""COMPUTED_VALUE"""),"AREQUIPA")</f>
        <v>AREQUIPA</v>
      </c>
      <c r="G348" s="25" t="str">
        <f ca="1">IFERROR(__xludf.DUMMYFUNCTION("""COMPUTED_VALUE"""),"MARIANO MELGAR")</f>
        <v>MARIANO MELGAR</v>
      </c>
      <c r="H348" s="25" t="str">
        <f ca="1">IFERROR(__xludf.DUMMYFUNCTION("""COMPUTED_VALUE"""),"URBANO")</f>
        <v>URBANO</v>
      </c>
      <c r="I348" s="25" t="str">
        <f ca="1">IFERROR(__xludf.DUMMYFUNCTION("""COMPUTED_VALUE"""),"Prioridad 1")</f>
        <v>Prioridad 1</v>
      </c>
      <c r="J348" s="43" t="s">
        <v>263</v>
      </c>
    </row>
    <row r="349" spans="2:10">
      <c r="B349" s="25" t="str">
        <f ca="1">IFERROR(__xludf.DUMMYFUNCTION("""COMPUTED_VALUE"""),"MUNICIPALIDAD DISTRITAL")</f>
        <v>MUNICIPALIDAD DISTRITAL</v>
      </c>
      <c r="C349" s="25" t="str">
        <f ca="1">IFERROR(__xludf.DUMMYFUNCTION("""COMPUTED_VALUE"""),"MUNICIPALIDAD DISTRITAL DE MIRAFLORES EN AREQUIPA")</f>
        <v>MUNICIPALIDAD DISTRITAL DE MIRAFLORES EN AREQUIPA</v>
      </c>
      <c r="D349" s="25" t="str">
        <f ca="1">IFERROR(__xludf.DUMMYFUNCTION("""COMPUTED_VALUE"""),"AREQUIPA")</f>
        <v>AREQUIPA</v>
      </c>
      <c r="E349" s="25" t="str">
        <f ca="1">IFERROR(__xludf.DUMMYFUNCTION("""COMPUTED_VALUE"""),"AREQUIPA")</f>
        <v>AREQUIPA</v>
      </c>
      <c r="F349" s="25" t="str">
        <f ca="1">IFERROR(__xludf.DUMMYFUNCTION("""COMPUTED_VALUE"""),"AREQUIPA")</f>
        <v>AREQUIPA</v>
      </c>
      <c r="G349" s="25" t="str">
        <f ca="1">IFERROR(__xludf.DUMMYFUNCTION("""COMPUTED_VALUE"""),"MIRAFLORES")</f>
        <v>MIRAFLORES</v>
      </c>
      <c r="H349" s="25" t="str">
        <f ca="1">IFERROR(__xludf.DUMMYFUNCTION("""COMPUTED_VALUE"""),"URBANO")</f>
        <v>URBANO</v>
      </c>
      <c r="I349" s="25" t="str">
        <f ca="1">IFERROR(__xludf.DUMMYFUNCTION("""COMPUTED_VALUE"""),"Prioridad 1")</f>
        <v>Prioridad 1</v>
      </c>
      <c r="J349" s="43" t="s">
        <v>263</v>
      </c>
    </row>
    <row r="350" spans="2:10">
      <c r="B350" s="25" t="str">
        <f ca="1">IFERROR(__xludf.DUMMYFUNCTION("""COMPUTED_VALUE"""),"MUNICIPALIDAD DISTRITAL")</f>
        <v>MUNICIPALIDAD DISTRITAL</v>
      </c>
      <c r="C350" s="25" t="str">
        <f ca="1">IFERROR(__xludf.DUMMYFUNCTION("""COMPUTED_VALUE"""),"MUNICIPALIDAD DISTRITAL DE MOLLEBAYA")</f>
        <v>MUNICIPALIDAD DISTRITAL DE MOLLEBAYA</v>
      </c>
      <c r="D350" s="25" t="str">
        <f ca="1">IFERROR(__xludf.DUMMYFUNCTION("""COMPUTED_VALUE"""),"AREQUIPA")</f>
        <v>AREQUIPA</v>
      </c>
      <c r="E350" s="25" t="str">
        <f ca="1">IFERROR(__xludf.DUMMYFUNCTION("""COMPUTED_VALUE"""),"AREQUIPA")</f>
        <v>AREQUIPA</v>
      </c>
      <c r="F350" s="25" t="str">
        <f ca="1">IFERROR(__xludf.DUMMYFUNCTION("""COMPUTED_VALUE"""),"AREQUIPA")</f>
        <v>AREQUIPA</v>
      </c>
      <c r="G350" s="25" t="str">
        <f ca="1">IFERROR(__xludf.DUMMYFUNCTION("""COMPUTED_VALUE"""),"MOLLEBAYA")</f>
        <v>MOLLEBAYA</v>
      </c>
      <c r="H350" s="25" t="str">
        <f ca="1">IFERROR(__xludf.DUMMYFUNCTION("""COMPUTED_VALUE"""),"URBANO")</f>
        <v>URBANO</v>
      </c>
      <c r="I350" s="25" t="str">
        <f ca="1">IFERROR(__xludf.DUMMYFUNCTION("""COMPUTED_VALUE"""),"Prioridad 1")</f>
        <v>Prioridad 1</v>
      </c>
      <c r="J350" s="43" t="s">
        <v>263</v>
      </c>
    </row>
    <row r="351" spans="2:10">
      <c r="B351" s="25" t="str">
        <f ca="1">IFERROR(__xludf.DUMMYFUNCTION("""COMPUTED_VALUE"""),"MUNICIPALIDAD DISTRITAL")</f>
        <v>MUNICIPALIDAD DISTRITAL</v>
      </c>
      <c r="C351" s="25" t="str">
        <f ca="1">IFERROR(__xludf.DUMMYFUNCTION("""COMPUTED_VALUE"""),"MUNICIPALIDAD DISTRITAL DE PAUCARPATA")</f>
        <v>MUNICIPALIDAD DISTRITAL DE PAUCARPATA</v>
      </c>
      <c r="D351" s="25" t="str">
        <f ca="1">IFERROR(__xludf.DUMMYFUNCTION("""COMPUTED_VALUE"""),"AREQUIPA")</f>
        <v>AREQUIPA</v>
      </c>
      <c r="E351" s="25" t="str">
        <f ca="1">IFERROR(__xludf.DUMMYFUNCTION("""COMPUTED_VALUE"""),"AREQUIPA")</f>
        <v>AREQUIPA</v>
      </c>
      <c r="F351" s="25" t="str">
        <f ca="1">IFERROR(__xludf.DUMMYFUNCTION("""COMPUTED_VALUE"""),"AREQUIPA")</f>
        <v>AREQUIPA</v>
      </c>
      <c r="G351" s="25" t="str">
        <f ca="1">IFERROR(__xludf.DUMMYFUNCTION("""COMPUTED_VALUE"""),"PAUCARPATA")</f>
        <v>PAUCARPATA</v>
      </c>
      <c r="H351" s="25" t="str">
        <f ca="1">IFERROR(__xludf.DUMMYFUNCTION("""COMPUTED_VALUE"""),"URBANO")</f>
        <v>URBANO</v>
      </c>
      <c r="I351" s="25" t="str">
        <f ca="1">IFERROR(__xludf.DUMMYFUNCTION("""COMPUTED_VALUE"""),"Prioridad 1")</f>
        <v>Prioridad 1</v>
      </c>
      <c r="J351" s="43" t="s">
        <v>263</v>
      </c>
    </row>
    <row r="352" spans="2:10">
      <c r="B352" s="25" t="str">
        <f ca="1">IFERROR(__xludf.DUMMYFUNCTION("""COMPUTED_VALUE"""),"MUNICIPALIDAD DISTRITAL")</f>
        <v>MUNICIPALIDAD DISTRITAL</v>
      </c>
      <c r="C352" s="25" t="str">
        <f ca="1">IFERROR(__xludf.DUMMYFUNCTION("""COMPUTED_VALUE"""),"MUNICIPALIDAD DISTRITAL DE POCSI")</f>
        <v>MUNICIPALIDAD DISTRITAL DE POCSI</v>
      </c>
      <c r="D352" s="25" t="str">
        <f ca="1">IFERROR(__xludf.DUMMYFUNCTION("""COMPUTED_VALUE"""),"AREQUIPA")</f>
        <v>AREQUIPA</v>
      </c>
      <c r="E352" s="25" t="str">
        <f ca="1">IFERROR(__xludf.DUMMYFUNCTION("""COMPUTED_VALUE"""),"AREQUIPA")</f>
        <v>AREQUIPA</v>
      </c>
      <c r="F352" s="25" t="str">
        <f ca="1">IFERROR(__xludf.DUMMYFUNCTION("""COMPUTED_VALUE"""),"AREQUIPA")</f>
        <v>AREQUIPA</v>
      </c>
      <c r="G352" s="25" t="str">
        <f ca="1">IFERROR(__xludf.DUMMYFUNCTION("""COMPUTED_VALUE"""),"POCSI")</f>
        <v>POCSI</v>
      </c>
      <c r="H352" s="25" t="str">
        <f ca="1">IFERROR(__xludf.DUMMYFUNCTION("""COMPUTED_VALUE"""),"RURAL")</f>
        <v>RURAL</v>
      </c>
      <c r="I352" s="25" t="str">
        <f ca="1">IFERROR(__xludf.DUMMYFUNCTION("""COMPUTED_VALUE"""),"Prioridad 3")</f>
        <v>Prioridad 3</v>
      </c>
      <c r="J352" s="43" t="s">
        <v>263</v>
      </c>
    </row>
    <row r="353" spans="2:10">
      <c r="B353" s="25" t="str">
        <f ca="1">IFERROR(__xludf.DUMMYFUNCTION("""COMPUTED_VALUE"""),"MUNICIPALIDAD DISTRITAL")</f>
        <v>MUNICIPALIDAD DISTRITAL</v>
      </c>
      <c r="C353" s="25" t="str">
        <f ca="1">IFERROR(__xludf.DUMMYFUNCTION("""COMPUTED_VALUE"""),"MUNICIPALIDAD DISTRITAL DE POLOBAYA")</f>
        <v>MUNICIPALIDAD DISTRITAL DE POLOBAYA</v>
      </c>
      <c r="D353" s="25" t="str">
        <f ca="1">IFERROR(__xludf.DUMMYFUNCTION("""COMPUTED_VALUE"""),"AREQUIPA")</f>
        <v>AREQUIPA</v>
      </c>
      <c r="E353" s="25" t="str">
        <f ca="1">IFERROR(__xludf.DUMMYFUNCTION("""COMPUTED_VALUE"""),"AREQUIPA")</f>
        <v>AREQUIPA</v>
      </c>
      <c r="F353" s="25" t="str">
        <f ca="1">IFERROR(__xludf.DUMMYFUNCTION("""COMPUTED_VALUE"""),"AREQUIPA")</f>
        <v>AREQUIPA</v>
      </c>
      <c r="G353" s="25" t="str">
        <f ca="1">IFERROR(__xludf.DUMMYFUNCTION("""COMPUTED_VALUE"""),"POLOBAYA")</f>
        <v>POLOBAYA</v>
      </c>
      <c r="H353" s="25" t="str">
        <f ca="1">IFERROR(__xludf.DUMMYFUNCTION("""COMPUTED_VALUE"""),"RURAL")</f>
        <v>RURAL</v>
      </c>
      <c r="I353" s="25" t="str">
        <f ca="1">IFERROR(__xludf.DUMMYFUNCTION("""COMPUTED_VALUE"""),"Prioridad 3")</f>
        <v>Prioridad 3</v>
      </c>
      <c r="J353" s="43" t="s">
        <v>263</v>
      </c>
    </row>
    <row r="354" spans="2:10">
      <c r="B354" s="25" t="str">
        <f ca="1">IFERROR(__xludf.DUMMYFUNCTION("""COMPUTED_VALUE"""),"MUNICIPALIDAD DISTRITAL")</f>
        <v>MUNICIPALIDAD DISTRITAL</v>
      </c>
      <c r="C354" s="25" t="str">
        <f ca="1">IFERROR(__xludf.DUMMYFUNCTION("""COMPUTED_VALUE"""),"MUNICIPALIDAD DISTRITAL DE QUEQUEÑA")</f>
        <v>MUNICIPALIDAD DISTRITAL DE QUEQUEÑA</v>
      </c>
      <c r="D354" s="25" t="str">
        <f ca="1">IFERROR(__xludf.DUMMYFUNCTION("""COMPUTED_VALUE"""),"AREQUIPA")</f>
        <v>AREQUIPA</v>
      </c>
      <c r="E354" s="25" t="str">
        <f ca="1">IFERROR(__xludf.DUMMYFUNCTION("""COMPUTED_VALUE"""),"AREQUIPA")</f>
        <v>AREQUIPA</v>
      </c>
      <c r="F354" s="25" t="str">
        <f ca="1">IFERROR(__xludf.DUMMYFUNCTION("""COMPUTED_VALUE"""),"AREQUIPA")</f>
        <v>AREQUIPA</v>
      </c>
      <c r="G354" s="25" t="str">
        <f ca="1">IFERROR(__xludf.DUMMYFUNCTION("""COMPUTED_VALUE"""),"QUEQUEÑA")</f>
        <v>QUEQUEÑA</v>
      </c>
      <c r="H354" s="25" t="str">
        <f ca="1">IFERROR(__xludf.DUMMYFUNCTION("""COMPUTED_VALUE"""),"URBANO")</f>
        <v>URBANO</v>
      </c>
      <c r="I354" s="25" t="str">
        <f ca="1">IFERROR(__xludf.DUMMYFUNCTION("""COMPUTED_VALUE"""),"Prioridad 2")</f>
        <v>Prioridad 2</v>
      </c>
      <c r="J354" s="43" t="s">
        <v>263</v>
      </c>
    </row>
    <row r="355" spans="2:10">
      <c r="B355" s="25" t="str">
        <f ca="1">IFERROR(__xludf.DUMMYFUNCTION("""COMPUTED_VALUE"""),"MUNICIPALIDAD DISTRITAL")</f>
        <v>MUNICIPALIDAD DISTRITAL</v>
      </c>
      <c r="C355" s="25" t="str">
        <f ca="1">IFERROR(__xludf.DUMMYFUNCTION("""COMPUTED_VALUE"""),"MUNICIPALIDAD DISTRITAL DE SABANDIA")</f>
        <v>MUNICIPALIDAD DISTRITAL DE SABANDIA</v>
      </c>
      <c r="D355" s="25" t="str">
        <f ca="1">IFERROR(__xludf.DUMMYFUNCTION("""COMPUTED_VALUE"""),"AREQUIPA")</f>
        <v>AREQUIPA</v>
      </c>
      <c r="E355" s="25" t="str">
        <f ca="1">IFERROR(__xludf.DUMMYFUNCTION("""COMPUTED_VALUE"""),"AREQUIPA")</f>
        <v>AREQUIPA</v>
      </c>
      <c r="F355" s="25" t="str">
        <f ca="1">IFERROR(__xludf.DUMMYFUNCTION("""COMPUTED_VALUE"""),"AREQUIPA")</f>
        <v>AREQUIPA</v>
      </c>
      <c r="G355" s="25" t="str">
        <f ca="1">IFERROR(__xludf.DUMMYFUNCTION("""COMPUTED_VALUE"""),"SABANDIA")</f>
        <v>SABANDIA</v>
      </c>
      <c r="H355" s="25" t="str">
        <f ca="1">IFERROR(__xludf.DUMMYFUNCTION("""COMPUTED_VALUE"""),"URBANO")</f>
        <v>URBANO</v>
      </c>
      <c r="I355" s="25" t="str">
        <f ca="1">IFERROR(__xludf.DUMMYFUNCTION("""COMPUTED_VALUE"""),"Prioridad 2")</f>
        <v>Prioridad 2</v>
      </c>
      <c r="J355" s="43" t="s">
        <v>263</v>
      </c>
    </row>
    <row r="356" spans="2:10">
      <c r="B356" s="25" t="str">
        <f ca="1">IFERROR(__xludf.DUMMYFUNCTION("""COMPUTED_VALUE"""),"MUNICIPALIDAD DISTRITAL")</f>
        <v>MUNICIPALIDAD DISTRITAL</v>
      </c>
      <c r="C356" s="25" t="str">
        <f ca="1">IFERROR(__xludf.DUMMYFUNCTION("""COMPUTED_VALUE"""),"MUNICIPALIDAD DISTRITAL DE SACHACA")</f>
        <v>MUNICIPALIDAD DISTRITAL DE SACHACA</v>
      </c>
      <c r="D356" s="25" t="str">
        <f ca="1">IFERROR(__xludf.DUMMYFUNCTION("""COMPUTED_VALUE"""),"AREQUIPA")</f>
        <v>AREQUIPA</v>
      </c>
      <c r="E356" s="25" t="str">
        <f ca="1">IFERROR(__xludf.DUMMYFUNCTION("""COMPUTED_VALUE"""),"AREQUIPA")</f>
        <v>AREQUIPA</v>
      </c>
      <c r="F356" s="25" t="str">
        <f ca="1">IFERROR(__xludf.DUMMYFUNCTION("""COMPUTED_VALUE"""),"AREQUIPA")</f>
        <v>AREQUIPA</v>
      </c>
      <c r="G356" s="25" t="str">
        <f ca="1">IFERROR(__xludf.DUMMYFUNCTION("""COMPUTED_VALUE"""),"SACHACA")</f>
        <v>SACHACA</v>
      </c>
      <c r="H356" s="25" t="str">
        <f ca="1">IFERROR(__xludf.DUMMYFUNCTION("""COMPUTED_VALUE"""),"URBANO")</f>
        <v>URBANO</v>
      </c>
      <c r="I356" s="25" t="str">
        <f ca="1">IFERROR(__xludf.DUMMYFUNCTION("""COMPUTED_VALUE"""),"Prioridad 1")</f>
        <v>Prioridad 1</v>
      </c>
      <c r="J356" s="43" t="s">
        <v>263</v>
      </c>
    </row>
    <row r="357" spans="2:10">
      <c r="B357" s="25" t="str">
        <f ca="1">IFERROR(__xludf.DUMMYFUNCTION("""COMPUTED_VALUE"""),"MUNICIPALIDAD DISTRITAL")</f>
        <v>MUNICIPALIDAD DISTRITAL</v>
      </c>
      <c r="C357" s="25" t="str">
        <f ca="1">IFERROR(__xludf.DUMMYFUNCTION("""COMPUTED_VALUE"""),"MUNICIPALIDAD DISTRITAL DE SAN JUAN DE SIGUAS")</f>
        <v>MUNICIPALIDAD DISTRITAL DE SAN JUAN DE SIGUAS</v>
      </c>
      <c r="D357" s="25" t="str">
        <f ca="1">IFERROR(__xludf.DUMMYFUNCTION("""COMPUTED_VALUE"""),"AREQUIPA")</f>
        <v>AREQUIPA</v>
      </c>
      <c r="E357" s="25" t="str">
        <f ca="1">IFERROR(__xludf.DUMMYFUNCTION("""COMPUTED_VALUE"""),"AREQUIPA")</f>
        <v>AREQUIPA</v>
      </c>
      <c r="F357" s="25" t="str">
        <f ca="1">IFERROR(__xludf.DUMMYFUNCTION("""COMPUTED_VALUE"""),"AREQUIPA")</f>
        <v>AREQUIPA</v>
      </c>
      <c r="G357" s="25" t="str">
        <f ca="1">IFERROR(__xludf.DUMMYFUNCTION("""COMPUTED_VALUE"""),"SAN JUAN DE SIGUAS")</f>
        <v>SAN JUAN DE SIGUAS</v>
      </c>
      <c r="H357" s="25" t="str">
        <f ca="1">IFERROR(__xludf.DUMMYFUNCTION("""COMPUTED_VALUE"""),"RURAL")</f>
        <v>RURAL</v>
      </c>
      <c r="I357" s="25" t="str">
        <f ca="1">IFERROR(__xludf.DUMMYFUNCTION("""COMPUTED_VALUE"""),"Prioridad 2")</f>
        <v>Prioridad 2</v>
      </c>
      <c r="J357" s="43" t="s">
        <v>263</v>
      </c>
    </row>
    <row r="358" spans="2:10">
      <c r="B358" s="25" t="str">
        <f ca="1">IFERROR(__xludf.DUMMYFUNCTION("""COMPUTED_VALUE"""),"MUNICIPALIDAD DISTRITAL")</f>
        <v>MUNICIPALIDAD DISTRITAL</v>
      </c>
      <c r="C358" s="25" t="str">
        <f ca="1">IFERROR(__xludf.DUMMYFUNCTION("""COMPUTED_VALUE"""),"MUNICIPALIDAD DISTRITAL DE SAN JUAN DE TARUCANI")</f>
        <v>MUNICIPALIDAD DISTRITAL DE SAN JUAN DE TARUCANI</v>
      </c>
      <c r="D358" s="25" t="str">
        <f ca="1">IFERROR(__xludf.DUMMYFUNCTION("""COMPUTED_VALUE"""),"AREQUIPA")</f>
        <v>AREQUIPA</v>
      </c>
      <c r="E358" s="25" t="str">
        <f ca="1">IFERROR(__xludf.DUMMYFUNCTION("""COMPUTED_VALUE"""),"AREQUIPA")</f>
        <v>AREQUIPA</v>
      </c>
      <c r="F358" s="25" t="str">
        <f ca="1">IFERROR(__xludf.DUMMYFUNCTION("""COMPUTED_VALUE"""),"AREQUIPA")</f>
        <v>AREQUIPA</v>
      </c>
      <c r="G358" s="25" t="str">
        <f ca="1">IFERROR(__xludf.DUMMYFUNCTION("""COMPUTED_VALUE"""),"SAN JUAN DE TARUCANI")</f>
        <v>SAN JUAN DE TARUCANI</v>
      </c>
      <c r="H358" s="25" t="str">
        <f ca="1">IFERROR(__xludf.DUMMYFUNCTION("""COMPUTED_VALUE"""),"RURAL")</f>
        <v>RURAL</v>
      </c>
      <c r="I358" s="25" t="str">
        <f ca="1">IFERROR(__xludf.DUMMYFUNCTION("""COMPUTED_VALUE"""),"Prioridad 5")</f>
        <v>Prioridad 5</v>
      </c>
      <c r="J358" s="43" t="s">
        <v>263</v>
      </c>
    </row>
    <row r="359" spans="2:10">
      <c r="B359" s="25" t="str">
        <f ca="1">IFERROR(__xludf.DUMMYFUNCTION("""COMPUTED_VALUE"""),"MUNICIPALIDAD DISTRITAL")</f>
        <v>MUNICIPALIDAD DISTRITAL</v>
      </c>
      <c r="C359" s="25" t="str">
        <f ca="1">IFERROR(__xludf.DUMMYFUNCTION("""COMPUTED_VALUE"""),"MUNICIPALIDAD DISTRITAL DE SANTA ISABEL DE SIGUAS")</f>
        <v>MUNICIPALIDAD DISTRITAL DE SANTA ISABEL DE SIGUAS</v>
      </c>
      <c r="D359" s="25" t="str">
        <f ca="1">IFERROR(__xludf.DUMMYFUNCTION("""COMPUTED_VALUE"""),"AREQUIPA")</f>
        <v>AREQUIPA</v>
      </c>
      <c r="E359" s="25" t="str">
        <f ca="1">IFERROR(__xludf.DUMMYFUNCTION("""COMPUTED_VALUE"""),"AREQUIPA")</f>
        <v>AREQUIPA</v>
      </c>
      <c r="F359" s="25" t="str">
        <f ca="1">IFERROR(__xludf.DUMMYFUNCTION("""COMPUTED_VALUE"""),"AREQUIPA")</f>
        <v>AREQUIPA</v>
      </c>
      <c r="G359" s="25" t="str">
        <f ca="1">IFERROR(__xludf.DUMMYFUNCTION("""COMPUTED_VALUE"""),"SANTA ISABEL DE SIGUAS")</f>
        <v>SANTA ISABEL DE SIGUAS</v>
      </c>
      <c r="H359" s="25" t="str">
        <f ca="1">IFERROR(__xludf.DUMMYFUNCTION("""COMPUTED_VALUE"""),"RURAL")</f>
        <v>RURAL</v>
      </c>
      <c r="I359" s="25" t="str">
        <f ca="1">IFERROR(__xludf.DUMMYFUNCTION("""COMPUTED_VALUE"""),"Prioridad 5")</f>
        <v>Prioridad 5</v>
      </c>
      <c r="J359" s="43" t="s">
        <v>263</v>
      </c>
    </row>
    <row r="360" spans="2:10">
      <c r="B360" s="25" t="str">
        <f ca="1">IFERROR(__xludf.DUMMYFUNCTION("""COMPUTED_VALUE"""),"MUNICIPALIDAD DISTRITAL")</f>
        <v>MUNICIPALIDAD DISTRITAL</v>
      </c>
      <c r="C360" s="25" t="str">
        <f ca="1">IFERROR(__xludf.DUMMYFUNCTION("""COMPUTED_VALUE"""),"MUNICIPALIDAD DISTRITAL DE SANTA RITA DE SIGUAS")</f>
        <v>MUNICIPALIDAD DISTRITAL DE SANTA RITA DE SIGUAS</v>
      </c>
      <c r="D360" s="25" t="str">
        <f ca="1">IFERROR(__xludf.DUMMYFUNCTION("""COMPUTED_VALUE"""),"AREQUIPA")</f>
        <v>AREQUIPA</v>
      </c>
      <c r="E360" s="25" t="str">
        <f ca="1">IFERROR(__xludf.DUMMYFUNCTION("""COMPUTED_VALUE"""),"AREQUIPA")</f>
        <v>AREQUIPA</v>
      </c>
      <c r="F360" s="25" t="str">
        <f ca="1">IFERROR(__xludf.DUMMYFUNCTION("""COMPUTED_VALUE"""),"AREQUIPA")</f>
        <v>AREQUIPA</v>
      </c>
      <c r="G360" s="25" t="str">
        <f ca="1">IFERROR(__xludf.DUMMYFUNCTION("""COMPUTED_VALUE"""),"SANTA RITA DE SIGUAS")</f>
        <v>SANTA RITA DE SIGUAS</v>
      </c>
      <c r="H360" s="25" t="str">
        <f ca="1">IFERROR(__xludf.DUMMYFUNCTION("""COMPUTED_VALUE"""),"URBANO")</f>
        <v>URBANO</v>
      </c>
      <c r="I360" s="25" t="str">
        <f ca="1">IFERROR(__xludf.DUMMYFUNCTION("""COMPUTED_VALUE"""),"Prioridad 4")</f>
        <v>Prioridad 4</v>
      </c>
      <c r="J360" s="43" t="s">
        <v>263</v>
      </c>
    </row>
    <row r="361" spans="2:10">
      <c r="B361" s="25" t="str">
        <f ca="1">IFERROR(__xludf.DUMMYFUNCTION("""COMPUTED_VALUE"""),"MUNICIPALIDAD DISTRITAL")</f>
        <v>MUNICIPALIDAD DISTRITAL</v>
      </c>
      <c r="C361" s="25" t="str">
        <f ca="1">IFERROR(__xludf.DUMMYFUNCTION("""COMPUTED_VALUE"""),"MUNICIPALIDAD DISTRITAL DE SOCABAYA")</f>
        <v>MUNICIPALIDAD DISTRITAL DE SOCABAYA</v>
      </c>
      <c r="D361" s="25" t="str">
        <f ca="1">IFERROR(__xludf.DUMMYFUNCTION("""COMPUTED_VALUE"""),"AREQUIPA")</f>
        <v>AREQUIPA</v>
      </c>
      <c r="E361" s="25" t="str">
        <f ca="1">IFERROR(__xludf.DUMMYFUNCTION("""COMPUTED_VALUE"""),"AREQUIPA")</f>
        <v>AREQUIPA</v>
      </c>
      <c r="F361" s="25" t="str">
        <f ca="1">IFERROR(__xludf.DUMMYFUNCTION("""COMPUTED_VALUE"""),"AREQUIPA")</f>
        <v>AREQUIPA</v>
      </c>
      <c r="G361" s="25" t="str">
        <f ca="1">IFERROR(__xludf.DUMMYFUNCTION("""COMPUTED_VALUE"""),"SOCABAYA")</f>
        <v>SOCABAYA</v>
      </c>
      <c r="H361" s="25" t="str">
        <f ca="1">IFERROR(__xludf.DUMMYFUNCTION("""COMPUTED_VALUE"""),"URBANO")</f>
        <v>URBANO</v>
      </c>
      <c r="I361" s="25" t="str">
        <f ca="1">IFERROR(__xludf.DUMMYFUNCTION("""COMPUTED_VALUE"""),"Prioridad 1")</f>
        <v>Prioridad 1</v>
      </c>
      <c r="J361" s="43" t="s">
        <v>263</v>
      </c>
    </row>
    <row r="362" spans="2:10">
      <c r="B362" s="25" t="str">
        <f ca="1">IFERROR(__xludf.DUMMYFUNCTION("""COMPUTED_VALUE"""),"MUNICIPALIDAD DISTRITAL")</f>
        <v>MUNICIPALIDAD DISTRITAL</v>
      </c>
      <c r="C362" s="25" t="str">
        <f ca="1">IFERROR(__xludf.DUMMYFUNCTION("""COMPUTED_VALUE"""),"MUNICIPALIDAD DISTRITAL DE TIABAYA")</f>
        <v>MUNICIPALIDAD DISTRITAL DE TIABAYA</v>
      </c>
      <c r="D362" s="25" t="str">
        <f ca="1">IFERROR(__xludf.DUMMYFUNCTION("""COMPUTED_VALUE"""),"AREQUIPA")</f>
        <v>AREQUIPA</v>
      </c>
      <c r="E362" s="25" t="str">
        <f ca="1">IFERROR(__xludf.DUMMYFUNCTION("""COMPUTED_VALUE"""),"AREQUIPA")</f>
        <v>AREQUIPA</v>
      </c>
      <c r="F362" s="25" t="str">
        <f ca="1">IFERROR(__xludf.DUMMYFUNCTION("""COMPUTED_VALUE"""),"AREQUIPA")</f>
        <v>AREQUIPA</v>
      </c>
      <c r="G362" s="25" t="str">
        <f ca="1">IFERROR(__xludf.DUMMYFUNCTION("""COMPUTED_VALUE"""),"TIABAYA")</f>
        <v>TIABAYA</v>
      </c>
      <c r="H362" s="25" t="str">
        <f ca="1">IFERROR(__xludf.DUMMYFUNCTION("""COMPUTED_VALUE"""),"URBANO")</f>
        <v>URBANO</v>
      </c>
      <c r="I362" s="25" t="str">
        <f ca="1">IFERROR(__xludf.DUMMYFUNCTION("""COMPUTED_VALUE"""),"Prioridad 1")</f>
        <v>Prioridad 1</v>
      </c>
      <c r="J362" s="43" t="s">
        <v>263</v>
      </c>
    </row>
    <row r="363" spans="2:10">
      <c r="B363" s="25" t="str">
        <f ca="1">IFERROR(__xludf.DUMMYFUNCTION("""COMPUTED_VALUE"""),"MUNICIPALIDAD DISTRITAL")</f>
        <v>MUNICIPALIDAD DISTRITAL</v>
      </c>
      <c r="C363" s="25" t="str">
        <f ca="1">IFERROR(__xludf.DUMMYFUNCTION("""COMPUTED_VALUE"""),"MUNICIPALIDAD DISTRITAL DE UCHUMAYO")</f>
        <v>MUNICIPALIDAD DISTRITAL DE UCHUMAYO</v>
      </c>
      <c r="D363" s="25" t="str">
        <f ca="1">IFERROR(__xludf.DUMMYFUNCTION("""COMPUTED_VALUE"""),"AREQUIPA")</f>
        <v>AREQUIPA</v>
      </c>
      <c r="E363" s="25" t="str">
        <f ca="1">IFERROR(__xludf.DUMMYFUNCTION("""COMPUTED_VALUE"""),"AREQUIPA")</f>
        <v>AREQUIPA</v>
      </c>
      <c r="F363" s="25" t="str">
        <f ca="1">IFERROR(__xludf.DUMMYFUNCTION("""COMPUTED_VALUE"""),"AREQUIPA")</f>
        <v>AREQUIPA</v>
      </c>
      <c r="G363" s="25" t="str">
        <f ca="1">IFERROR(__xludf.DUMMYFUNCTION("""COMPUTED_VALUE"""),"UCHUMAYO")</f>
        <v>UCHUMAYO</v>
      </c>
      <c r="H363" s="25" t="str">
        <f ca="1">IFERROR(__xludf.DUMMYFUNCTION("""COMPUTED_VALUE"""),"URBANO")</f>
        <v>URBANO</v>
      </c>
      <c r="I363" s="25" t="str">
        <f ca="1">IFERROR(__xludf.DUMMYFUNCTION("""COMPUTED_VALUE"""),"Prioridad 2")</f>
        <v>Prioridad 2</v>
      </c>
      <c r="J363" s="43" t="s">
        <v>263</v>
      </c>
    </row>
    <row r="364" spans="2:10">
      <c r="B364" s="25" t="str">
        <f ca="1">IFERROR(__xludf.DUMMYFUNCTION("""COMPUTED_VALUE"""),"MUNICIPALIDAD DISTRITAL")</f>
        <v>MUNICIPALIDAD DISTRITAL</v>
      </c>
      <c r="C364" s="25" t="str">
        <f ca="1">IFERROR(__xludf.DUMMYFUNCTION("""COMPUTED_VALUE"""),"MUNICIPALIDAD DISTRITAL DE VITOR")</f>
        <v>MUNICIPALIDAD DISTRITAL DE VITOR</v>
      </c>
      <c r="D364" s="25" t="str">
        <f ca="1">IFERROR(__xludf.DUMMYFUNCTION("""COMPUTED_VALUE"""),"AREQUIPA")</f>
        <v>AREQUIPA</v>
      </c>
      <c r="E364" s="25" t="str">
        <f ca="1">IFERROR(__xludf.DUMMYFUNCTION("""COMPUTED_VALUE"""),"AREQUIPA")</f>
        <v>AREQUIPA</v>
      </c>
      <c r="F364" s="25" t="str">
        <f ca="1">IFERROR(__xludf.DUMMYFUNCTION("""COMPUTED_VALUE"""),"AREQUIPA")</f>
        <v>AREQUIPA</v>
      </c>
      <c r="G364" s="25" t="str">
        <f ca="1">IFERROR(__xludf.DUMMYFUNCTION("""COMPUTED_VALUE"""),"VITOR")</f>
        <v>VITOR</v>
      </c>
      <c r="H364" s="25" t="str">
        <f ca="1">IFERROR(__xludf.DUMMYFUNCTION("""COMPUTED_VALUE"""),"RURAL")</f>
        <v>RURAL</v>
      </c>
      <c r="I364" s="25" t="str">
        <f ca="1">IFERROR(__xludf.DUMMYFUNCTION("""COMPUTED_VALUE"""),"Prioridad 3")</f>
        <v>Prioridad 3</v>
      </c>
      <c r="J364" s="43" t="s">
        <v>263</v>
      </c>
    </row>
    <row r="365" spans="2:10">
      <c r="B365" s="25" t="str">
        <f ca="1">IFERROR(__xludf.DUMMYFUNCTION("""COMPUTED_VALUE"""),"MUNICIPALIDAD DISTRITAL")</f>
        <v>MUNICIPALIDAD DISTRITAL</v>
      </c>
      <c r="C365" s="25" t="str">
        <f ca="1">IFERROR(__xludf.DUMMYFUNCTION("""COMPUTED_VALUE"""),"MUNICIPALIDAD DISTRITAL DE YANAHUARA")</f>
        <v>MUNICIPALIDAD DISTRITAL DE YANAHUARA</v>
      </c>
      <c r="D365" s="25" t="str">
        <f ca="1">IFERROR(__xludf.DUMMYFUNCTION("""COMPUTED_VALUE"""),"AREQUIPA")</f>
        <v>AREQUIPA</v>
      </c>
      <c r="E365" s="25" t="str">
        <f ca="1">IFERROR(__xludf.DUMMYFUNCTION("""COMPUTED_VALUE"""),"AREQUIPA")</f>
        <v>AREQUIPA</v>
      </c>
      <c r="F365" s="25" t="str">
        <f ca="1">IFERROR(__xludf.DUMMYFUNCTION("""COMPUTED_VALUE"""),"AREQUIPA")</f>
        <v>AREQUIPA</v>
      </c>
      <c r="G365" s="25" t="str">
        <f ca="1">IFERROR(__xludf.DUMMYFUNCTION("""COMPUTED_VALUE"""),"YANAHUARA")</f>
        <v>YANAHUARA</v>
      </c>
      <c r="H365" s="25" t="str">
        <f ca="1">IFERROR(__xludf.DUMMYFUNCTION("""COMPUTED_VALUE"""),"URBANO")</f>
        <v>URBANO</v>
      </c>
      <c r="I365" s="25" t="str">
        <f ca="1">IFERROR(__xludf.DUMMYFUNCTION("""COMPUTED_VALUE"""),"Prioridad 1")</f>
        <v>Prioridad 1</v>
      </c>
      <c r="J365" s="43" t="s">
        <v>263</v>
      </c>
    </row>
    <row r="366" spans="2:10">
      <c r="B366" s="25" t="str">
        <f ca="1">IFERROR(__xludf.DUMMYFUNCTION("""COMPUTED_VALUE"""),"MUNICIPALIDAD DISTRITAL")</f>
        <v>MUNICIPALIDAD DISTRITAL</v>
      </c>
      <c r="C366" s="25" t="str">
        <f ca="1">IFERROR(__xludf.DUMMYFUNCTION("""COMPUTED_VALUE"""),"MUNICIPALIDAD DISTRITAL DE YARABAMBA")</f>
        <v>MUNICIPALIDAD DISTRITAL DE YARABAMBA</v>
      </c>
      <c r="D366" s="25" t="str">
        <f ca="1">IFERROR(__xludf.DUMMYFUNCTION("""COMPUTED_VALUE"""),"AREQUIPA")</f>
        <v>AREQUIPA</v>
      </c>
      <c r="E366" s="25" t="str">
        <f ca="1">IFERROR(__xludf.DUMMYFUNCTION("""COMPUTED_VALUE"""),"AREQUIPA")</f>
        <v>AREQUIPA</v>
      </c>
      <c r="F366" s="25" t="str">
        <f ca="1">IFERROR(__xludf.DUMMYFUNCTION("""COMPUTED_VALUE"""),"AREQUIPA")</f>
        <v>AREQUIPA</v>
      </c>
      <c r="G366" s="25" t="str">
        <f ca="1">IFERROR(__xludf.DUMMYFUNCTION("""COMPUTED_VALUE"""),"YARABAMBA")</f>
        <v>YARABAMBA</v>
      </c>
      <c r="H366" s="25" t="str">
        <f ca="1">IFERROR(__xludf.DUMMYFUNCTION("""COMPUTED_VALUE"""),"RURAL")</f>
        <v>RURAL</v>
      </c>
      <c r="I366" s="25" t="str">
        <f ca="1">IFERROR(__xludf.DUMMYFUNCTION("""COMPUTED_VALUE"""),"Prioridad 1")</f>
        <v>Prioridad 1</v>
      </c>
      <c r="J366" s="43" t="s">
        <v>263</v>
      </c>
    </row>
    <row r="367" spans="2:10">
      <c r="B367" s="25" t="str">
        <f ca="1">IFERROR(__xludf.DUMMYFUNCTION("""COMPUTED_VALUE"""),"MUNICIPALIDAD DISTRITAL")</f>
        <v>MUNICIPALIDAD DISTRITAL</v>
      </c>
      <c r="C367" s="25" t="str">
        <f ca="1">IFERROR(__xludf.DUMMYFUNCTION("""COMPUTED_VALUE"""),"MUNICIPALIDAD DISTRITAL DE YURA")</f>
        <v>MUNICIPALIDAD DISTRITAL DE YURA</v>
      </c>
      <c r="D367" s="25" t="str">
        <f ca="1">IFERROR(__xludf.DUMMYFUNCTION("""COMPUTED_VALUE"""),"AREQUIPA")</f>
        <v>AREQUIPA</v>
      </c>
      <c r="E367" s="25" t="str">
        <f ca="1">IFERROR(__xludf.DUMMYFUNCTION("""COMPUTED_VALUE"""),"AREQUIPA")</f>
        <v>AREQUIPA</v>
      </c>
      <c r="F367" s="25" t="str">
        <f ca="1">IFERROR(__xludf.DUMMYFUNCTION("""COMPUTED_VALUE"""),"AREQUIPA")</f>
        <v>AREQUIPA</v>
      </c>
      <c r="G367" s="25" t="str">
        <f ca="1">IFERROR(__xludf.DUMMYFUNCTION("""COMPUTED_VALUE"""),"YURA")</f>
        <v>YURA</v>
      </c>
      <c r="H367" s="25" t="str">
        <f ca="1">IFERROR(__xludf.DUMMYFUNCTION("""COMPUTED_VALUE"""),"URBANO")</f>
        <v>URBANO</v>
      </c>
      <c r="I367" s="25" t="str">
        <f ca="1">IFERROR(__xludf.DUMMYFUNCTION("""COMPUTED_VALUE"""),"Prioridad 1")</f>
        <v>Prioridad 1</v>
      </c>
      <c r="J367" s="43" t="s">
        <v>263</v>
      </c>
    </row>
    <row r="368" spans="2:10">
      <c r="B368" s="25" t="str">
        <f ca="1">IFERROR(__xludf.DUMMYFUNCTION("""COMPUTED_VALUE"""),"GOBIERNO REGIONAL")</f>
        <v>GOBIERNO REGIONAL</v>
      </c>
      <c r="C368" s="25" t="str">
        <f ca="1">IFERROR(__xludf.DUMMYFUNCTION("""COMPUTED_VALUE"""),"GOBIERNO REGIONAL DE AREQUIPA")</f>
        <v>GOBIERNO REGIONAL DE AREQUIPA</v>
      </c>
      <c r="D368" s="25" t="str">
        <f ca="1">IFERROR(__xludf.DUMMYFUNCTION("""COMPUTED_VALUE"""),"AREQUIPA")</f>
        <v>AREQUIPA</v>
      </c>
      <c r="E368" s="25" t="str">
        <f ca="1">IFERROR(__xludf.DUMMYFUNCTION("""COMPUTED_VALUE"""),"AREQUIPA")</f>
        <v>AREQUIPA</v>
      </c>
      <c r="F368" s="25" t="str">
        <f ca="1">IFERROR(__xludf.DUMMYFUNCTION("""COMPUTED_VALUE"""),"AREQUIPA")</f>
        <v>AREQUIPA</v>
      </c>
      <c r="G368" s="25" t="str">
        <f ca="1">IFERROR(__xludf.DUMMYFUNCTION("""COMPUTED_VALUE"""),"AREQUIPA")</f>
        <v>AREQUIPA</v>
      </c>
      <c r="H368" s="25"/>
      <c r="I368" s="25" t="str">
        <f ca="1">IFERROR(__xludf.DUMMYFUNCTION("""COMPUTED_VALUE"""),"Prioridad 1")</f>
        <v>Prioridad 1</v>
      </c>
      <c r="J368" s="43" t="s">
        <v>263</v>
      </c>
    </row>
    <row r="369" spans="2:10">
      <c r="B369" s="25" t="str">
        <f ca="1">IFERROR(__xludf.DUMMYFUNCTION("""COMPUTED_VALUE"""),"MUNICIPALIDAD PROVINCIAL")</f>
        <v>MUNICIPALIDAD PROVINCIAL</v>
      </c>
      <c r="C369" s="25" t="str">
        <f ca="1">IFERROR(__xludf.DUMMYFUNCTION("""COMPUTED_VALUE"""),"MUNICIPALIDAD PROVINCIAL DE CAMANA")</f>
        <v>MUNICIPALIDAD PROVINCIAL DE CAMANA</v>
      </c>
      <c r="D369" s="25" t="str">
        <f ca="1">IFERROR(__xludf.DUMMYFUNCTION("""COMPUTED_VALUE"""),"AREQUIPA")</f>
        <v>AREQUIPA</v>
      </c>
      <c r="E369" s="25" t="str">
        <f ca="1">IFERROR(__xludf.DUMMYFUNCTION("""COMPUTED_VALUE"""),"AREQUIPA")</f>
        <v>AREQUIPA</v>
      </c>
      <c r="F369" s="25" t="str">
        <f ca="1">IFERROR(__xludf.DUMMYFUNCTION("""COMPUTED_VALUE"""),"CAMANA")</f>
        <v>CAMANA</v>
      </c>
      <c r="G369" s="25" t="str">
        <f ca="1">IFERROR(__xludf.DUMMYFUNCTION("""COMPUTED_VALUE"""),"CAMANA")</f>
        <v>CAMANA</v>
      </c>
      <c r="H369" s="25" t="str">
        <f ca="1">IFERROR(__xludf.DUMMYFUNCTION("""COMPUTED_VALUE"""),"URBANO")</f>
        <v>URBANO</v>
      </c>
      <c r="I369" s="25" t="str">
        <f ca="1">IFERROR(__xludf.DUMMYFUNCTION("""COMPUTED_VALUE"""),"Prioridad 1")</f>
        <v>Prioridad 1</v>
      </c>
      <c r="J369" s="43" t="s">
        <v>263</v>
      </c>
    </row>
    <row r="370" spans="2:10">
      <c r="B370" s="25" t="str">
        <f ca="1">IFERROR(__xludf.DUMMYFUNCTION("""COMPUTED_VALUE"""),"MUNICIPALIDAD DISTRITAL")</f>
        <v>MUNICIPALIDAD DISTRITAL</v>
      </c>
      <c r="C370" s="25" t="str">
        <f ca="1">IFERROR(__xludf.DUMMYFUNCTION("""COMPUTED_VALUE"""),"MUNICIPALIDAD DISTRITAL DE JOSE MARIA QUIMPER")</f>
        <v>MUNICIPALIDAD DISTRITAL DE JOSE MARIA QUIMPER</v>
      </c>
      <c r="D370" s="25" t="str">
        <f ca="1">IFERROR(__xludf.DUMMYFUNCTION("""COMPUTED_VALUE"""),"AREQUIPA")</f>
        <v>AREQUIPA</v>
      </c>
      <c r="E370" s="25" t="str">
        <f ca="1">IFERROR(__xludf.DUMMYFUNCTION("""COMPUTED_VALUE"""),"AREQUIPA")</f>
        <v>AREQUIPA</v>
      </c>
      <c r="F370" s="25" t="str">
        <f ca="1">IFERROR(__xludf.DUMMYFUNCTION("""COMPUTED_VALUE"""),"CAMANA")</f>
        <v>CAMANA</v>
      </c>
      <c r="G370" s="25" t="str">
        <f ca="1">IFERROR(__xludf.DUMMYFUNCTION("""COMPUTED_VALUE"""),"JOSE MARIA QUIMPER")</f>
        <v>JOSE MARIA QUIMPER</v>
      </c>
      <c r="H370" s="25" t="str">
        <f ca="1">IFERROR(__xludf.DUMMYFUNCTION("""COMPUTED_VALUE"""),"URBANO")</f>
        <v>URBANO</v>
      </c>
      <c r="I370" s="25" t="str">
        <f ca="1">IFERROR(__xludf.DUMMYFUNCTION("""COMPUTED_VALUE"""),"Prioridad 4")</f>
        <v>Prioridad 4</v>
      </c>
      <c r="J370" s="43" t="s">
        <v>263</v>
      </c>
    </row>
    <row r="371" spans="2:10">
      <c r="B371" s="25" t="str">
        <f ca="1">IFERROR(__xludf.DUMMYFUNCTION("""COMPUTED_VALUE"""),"MUNICIPALIDAD DISTRITAL")</f>
        <v>MUNICIPALIDAD DISTRITAL</v>
      </c>
      <c r="C371" s="25" t="str">
        <f ca="1">IFERROR(__xludf.DUMMYFUNCTION("""COMPUTED_VALUE"""),"MUNICIPALIDAD DISTRITAL DE MARIANO NICOLAS VALCARCEL")</f>
        <v>MUNICIPALIDAD DISTRITAL DE MARIANO NICOLAS VALCARCEL</v>
      </c>
      <c r="D371" s="25" t="str">
        <f ca="1">IFERROR(__xludf.DUMMYFUNCTION("""COMPUTED_VALUE"""),"AREQUIPA")</f>
        <v>AREQUIPA</v>
      </c>
      <c r="E371" s="25" t="str">
        <f ca="1">IFERROR(__xludf.DUMMYFUNCTION("""COMPUTED_VALUE"""),"AREQUIPA")</f>
        <v>AREQUIPA</v>
      </c>
      <c r="F371" s="25" t="str">
        <f ca="1">IFERROR(__xludf.DUMMYFUNCTION("""COMPUTED_VALUE"""),"CAMANA")</f>
        <v>CAMANA</v>
      </c>
      <c r="G371" s="25" t="str">
        <f ca="1">IFERROR(__xludf.DUMMYFUNCTION("""COMPUTED_VALUE"""),"MARIANO NICOLAS VALCARCEL")</f>
        <v>MARIANO NICOLAS VALCARCEL</v>
      </c>
      <c r="H371" s="25" t="str">
        <f ca="1">IFERROR(__xludf.DUMMYFUNCTION("""COMPUTED_VALUE"""),"RURAL")</f>
        <v>RURAL</v>
      </c>
      <c r="I371" s="25" t="str">
        <f ca="1">IFERROR(__xludf.DUMMYFUNCTION("""COMPUTED_VALUE"""),"Prioridad 3")</f>
        <v>Prioridad 3</v>
      </c>
      <c r="J371" s="43" t="s">
        <v>263</v>
      </c>
    </row>
    <row r="372" spans="2:10">
      <c r="B372" s="25" t="str">
        <f ca="1">IFERROR(__xludf.DUMMYFUNCTION("""COMPUTED_VALUE"""),"MUNICIPALIDAD DISTRITAL")</f>
        <v>MUNICIPALIDAD DISTRITAL</v>
      </c>
      <c r="C372" s="25" t="str">
        <f ca="1">IFERROR(__xludf.DUMMYFUNCTION("""COMPUTED_VALUE"""),"MUNICIPALIDAD DISTRITAL DE MARISCAL CACERES EN CAMANA")</f>
        <v>MUNICIPALIDAD DISTRITAL DE MARISCAL CACERES EN CAMANA</v>
      </c>
      <c r="D372" s="25" t="str">
        <f ca="1">IFERROR(__xludf.DUMMYFUNCTION("""COMPUTED_VALUE"""),"AREQUIPA")</f>
        <v>AREQUIPA</v>
      </c>
      <c r="E372" s="25" t="str">
        <f ca="1">IFERROR(__xludf.DUMMYFUNCTION("""COMPUTED_VALUE"""),"AREQUIPA")</f>
        <v>AREQUIPA</v>
      </c>
      <c r="F372" s="25" t="str">
        <f ca="1">IFERROR(__xludf.DUMMYFUNCTION("""COMPUTED_VALUE"""),"CAMANA")</f>
        <v>CAMANA</v>
      </c>
      <c r="G372" s="25" t="str">
        <f ca="1">IFERROR(__xludf.DUMMYFUNCTION("""COMPUTED_VALUE"""),"MARISCAL CACERES")</f>
        <v>MARISCAL CACERES</v>
      </c>
      <c r="H372" s="25" t="str">
        <f ca="1">IFERROR(__xludf.DUMMYFUNCTION("""COMPUTED_VALUE"""),"URBANO")</f>
        <v>URBANO</v>
      </c>
      <c r="I372" s="25" t="str">
        <f ca="1">IFERROR(__xludf.DUMMYFUNCTION("""COMPUTED_VALUE"""),"Prioridad 2")</f>
        <v>Prioridad 2</v>
      </c>
      <c r="J372" s="43" t="s">
        <v>263</v>
      </c>
    </row>
    <row r="373" spans="2:10">
      <c r="B373" s="25" t="str">
        <f ca="1">IFERROR(__xludf.DUMMYFUNCTION("""COMPUTED_VALUE"""),"MUNICIPALIDAD DISTRITAL")</f>
        <v>MUNICIPALIDAD DISTRITAL</v>
      </c>
      <c r="C373" s="25" t="str">
        <f ca="1">IFERROR(__xludf.DUMMYFUNCTION("""COMPUTED_VALUE"""),"MUNICIPALIDAD DISTRITAL DE NICOLAS DE PIEROLA")</f>
        <v>MUNICIPALIDAD DISTRITAL DE NICOLAS DE PIEROLA</v>
      </c>
      <c r="D373" s="25" t="str">
        <f ca="1">IFERROR(__xludf.DUMMYFUNCTION("""COMPUTED_VALUE"""),"AREQUIPA")</f>
        <v>AREQUIPA</v>
      </c>
      <c r="E373" s="25" t="str">
        <f ca="1">IFERROR(__xludf.DUMMYFUNCTION("""COMPUTED_VALUE"""),"AREQUIPA")</f>
        <v>AREQUIPA</v>
      </c>
      <c r="F373" s="25" t="str">
        <f ca="1">IFERROR(__xludf.DUMMYFUNCTION("""COMPUTED_VALUE"""),"CAMANA")</f>
        <v>CAMANA</v>
      </c>
      <c r="G373" s="25" t="str">
        <f ca="1">IFERROR(__xludf.DUMMYFUNCTION("""COMPUTED_VALUE"""),"NICOLAS DE PIEROLA")</f>
        <v>NICOLAS DE PIEROLA</v>
      </c>
      <c r="H373" s="25" t="str">
        <f ca="1">IFERROR(__xludf.DUMMYFUNCTION("""COMPUTED_VALUE"""),"URBANO")</f>
        <v>URBANO</v>
      </c>
      <c r="I373" s="25" t="str">
        <f ca="1">IFERROR(__xludf.DUMMYFUNCTION("""COMPUTED_VALUE"""),"Prioridad 2")</f>
        <v>Prioridad 2</v>
      </c>
      <c r="J373" s="43" t="s">
        <v>263</v>
      </c>
    </row>
    <row r="374" spans="2:10">
      <c r="B374" s="25" t="str">
        <f ca="1">IFERROR(__xludf.DUMMYFUNCTION("""COMPUTED_VALUE"""),"MUNICIPALIDAD DISTRITAL")</f>
        <v>MUNICIPALIDAD DISTRITAL</v>
      </c>
      <c r="C374" s="25" t="str">
        <f ca="1">IFERROR(__xludf.DUMMYFUNCTION("""COMPUTED_VALUE"""),"MUNICIPALIDAD DISTRITAL DE OCOÑA")</f>
        <v>MUNICIPALIDAD DISTRITAL DE OCOÑA</v>
      </c>
      <c r="D374" s="25" t="str">
        <f ca="1">IFERROR(__xludf.DUMMYFUNCTION("""COMPUTED_VALUE"""),"AREQUIPA")</f>
        <v>AREQUIPA</v>
      </c>
      <c r="E374" s="25" t="str">
        <f ca="1">IFERROR(__xludf.DUMMYFUNCTION("""COMPUTED_VALUE"""),"AREQUIPA")</f>
        <v>AREQUIPA</v>
      </c>
      <c r="F374" s="25" t="str">
        <f ca="1">IFERROR(__xludf.DUMMYFUNCTION("""COMPUTED_VALUE"""),"CAMANA")</f>
        <v>CAMANA</v>
      </c>
      <c r="G374" s="25" t="str">
        <f ca="1">IFERROR(__xludf.DUMMYFUNCTION("""COMPUTED_VALUE"""),"OCOÑA")</f>
        <v>OCOÑA</v>
      </c>
      <c r="H374" s="25" t="str">
        <f ca="1">IFERROR(__xludf.DUMMYFUNCTION("""COMPUTED_VALUE"""),"URBANO")</f>
        <v>URBANO</v>
      </c>
      <c r="I374" s="25" t="str">
        <f ca="1">IFERROR(__xludf.DUMMYFUNCTION("""COMPUTED_VALUE"""),"Prioridad 2")</f>
        <v>Prioridad 2</v>
      </c>
      <c r="J374" s="43" t="s">
        <v>263</v>
      </c>
    </row>
    <row r="375" spans="2:10">
      <c r="B375" s="25" t="str">
        <f ca="1">IFERROR(__xludf.DUMMYFUNCTION("""COMPUTED_VALUE"""),"MUNICIPALIDAD DISTRITAL")</f>
        <v>MUNICIPALIDAD DISTRITAL</v>
      </c>
      <c r="C375" s="25" t="str">
        <f ca="1">IFERROR(__xludf.DUMMYFUNCTION("""COMPUTED_VALUE"""),"MUNICIPALIDAD DISTRITAL DE QUILCA")</f>
        <v>MUNICIPALIDAD DISTRITAL DE QUILCA</v>
      </c>
      <c r="D375" s="25" t="str">
        <f ca="1">IFERROR(__xludf.DUMMYFUNCTION("""COMPUTED_VALUE"""),"AREQUIPA")</f>
        <v>AREQUIPA</v>
      </c>
      <c r="E375" s="25" t="str">
        <f ca="1">IFERROR(__xludf.DUMMYFUNCTION("""COMPUTED_VALUE"""),"AREQUIPA")</f>
        <v>AREQUIPA</v>
      </c>
      <c r="F375" s="25" t="str">
        <f ca="1">IFERROR(__xludf.DUMMYFUNCTION("""COMPUTED_VALUE"""),"CAMANA")</f>
        <v>CAMANA</v>
      </c>
      <c r="G375" s="25" t="str">
        <f ca="1">IFERROR(__xludf.DUMMYFUNCTION("""COMPUTED_VALUE"""),"QUILCA")</f>
        <v>QUILCA</v>
      </c>
      <c r="H375" s="25" t="str">
        <f ca="1">IFERROR(__xludf.DUMMYFUNCTION("""COMPUTED_VALUE"""),"RURAL")</f>
        <v>RURAL</v>
      </c>
      <c r="I375" s="25" t="str">
        <f ca="1">IFERROR(__xludf.DUMMYFUNCTION("""COMPUTED_VALUE"""),"Prioridad 3")</f>
        <v>Prioridad 3</v>
      </c>
      <c r="J375" s="43" t="s">
        <v>263</v>
      </c>
    </row>
    <row r="376" spans="2:10">
      <c r="B376" s="25" t="str">
        <f ca="1">IFERROR(__xludf.DUMMYFUNCTION("""COMPUTED_VALUE"""),"MUNICIPALIDAD DISTRITAL")</f>
        <v>MUNICIPALIDAD DISTRITAL</v>
      </c>
      <c r="C376" s="25" t="str">
        <f ca="1">IFERROR(__xludf.DUMMYFUNCTION("""COMPUTED_VALUE"""),"MUNICIPALIDAD DISTRITAL DE SAMUEL PASTOR")</f>
        <v>MUNICIPALIDAD DISTRITAL DE SAMUEL PASTOR</v>
      </c>
      <c r="D376" s="25" t="str">
        <f ca="1">IFERROR(__xludf.DUMMYFUNCTION("""COMPUTED_VALUE"""),"AREQUIPA")</f>
        <v>AREQUIPA</v>
      </c>
      <c r="E376" s="25" t="str">
        <f ca="1">IFERROR(__xludf.DUMMYFUNCTION("""COMPUTED_VALUE"""),"AREQUIPA")</f>
        <v>AREQUIPA</v>
      </c>
      <c r="F376" s="25" t="str">
        <f ca="1">IFERROR(__xludf.DUMMYFUNCTION("""COMPUTED_VALUE"""),"CAMANA")</f>
        <v>CAMANA</v>
      </c>
      <c r="G376" s="25" t="str">
        <f ca="1">IFERROR(__xludf.DUMMYFUNCTION("""COMPUTED_VALUE"""),"SAMUEL PASTOR")</f>
        <v>SAMUEL PASTOR</v>
      </c>
      <c r="H376" s="25" t="str">
        <f ca="1">IFERROR(__xludf.DUMMYFUNCTION("""COMPUTED_VALUE"""),"URBANO")</f>
        <v>URBANO</v>
      </c>
      <c r="I376" s="25" t="str">
        <f ca="1">IFERROR(__xludf.DUMMYFUNCTION("""COMPUTED_VALUE"""),"Prioridad 1")</f>
        <v>Prioridad 1</v>
      </c>
      <c r="J376" s="43" t="s">
        <v>263</v>
      </c>
    </row>
    <row r="377" spans="2:10">
      <c r="B377" s="25" t="str">
        <f ca="1">IFERROR(__xludf.DUMMYFUNCTION("""COMPUTED_VALUE"""),"MUNICIPALIDAD PROVINCIAL")</f>
        <v>MUNICIPALIDAD PROVINCIAL</v>
      </c>
      <c r="C377" s="25" t="str">
        <f ca="1">IFERROR(__xludf.DUMMYFUNCTION("""COMPUTED_VALUE"""),"MUNICIPALIDAD PROVINCIAL DE CARAVELI")</f>
        <v>MUNICIPALIDAD PROVINCIAL DE CARAVELI</v>
      </c>
      <c r="D377" s="25" t="str">
        <f ca="1">IFERROR(__xludf.DUMMYFUNCTION("""COMPUTED_VALUE"""),"AREQUIPA")</f>
        <v>AREQUIPA</v>
      </c>
      <c r="E377" s="25" t="str">
        <f ca="1">IFERROR(__xludf.DUMMYFUNCTION("""COMPUTED_VALUE"""),"AREQUIPA")</f>
        <v>AREQUIPA</v>
      </c>
      <c r="F377" s="25" t="str">
        <f ca="1">IFERROR(__xludf.DUMMYFUNCTION("""COMPUTED_VALUE"""),"CARAVELI")</f>
        <v>CARAVELI</v>
      </c>
      <c r="G377" s="25" t="str">
        <f ca="1">IFERROR(__xludf.DUMMYFUNCTION("""COMPUTED_VALUE"""),"CARAVELI")</f>
        <v>CARAVELI</v>
      </c>
      <c r="H377" s="25" t="str">
        <f ca="1">IFERROR(__xludf.DUMMYFUNCTION("""COMPUTED_VALUE"""),"URBANO")</f>
        <v>URBANO</v>
      </c>
      <c r="I377" s="25" t="str">
        <f ca="1">IFERROR(__xludf.DUMMYFUNCTION("""COMPUTED_VALUE"""),"Prioridad 1")</f>
        <v>Prioridad 1</v>
      </c>
      <c r="J377" s="43" t="s">
        <v>263</v>
      </c>
    </row>
    <row r="378" spans="2:10">
      <c r="B378" s="25" t="str">
        <f ca="1">IFERROR(__xludf.DUMMYFUNCTION("""COMPUTED_VALUE"""),"MUNICIPALIDAD DISTRITAL")</f>
        <v>MUNICIPALIDAD DISTRITAL</v>
      </c>
      <c r="C378" s="25" t="str">
        <f ca="1">IFERROR(__xludf.DUMMYFUNCTION("""COMPUTED_VALUE"""),"MUNICIPALIDAD DISTRITAL DE ACARI")</f>
        <v>MUNICIPALIDAD DISTRITAL DE ACARI</v>
      </c>
      <c r="D378" s="25" t="str">
        <f ca="1">IFERROR(__xludf.DUMMYFUNCTION("""COMPUTED_VALUE"""),"AREQUIPA")</f>
        <v>AREQUIPA</v>
      </c>
      <c r="E378" s="25" t="str">
        <f ca="1">IFERROR(__xludf.DUMMYFUNCTION("""COMPUTED_VALUE"""),"AREQUIPA")</f>
        <v>AREQUIPA</v>
      </c>
      <c r="F378" s="25" t="str">
        <f ca="1">IFERROR(__xludf.DUMMYFUNCTION("""COMPUTED_VALUE"""),"CARAVELI")</f>
        <v>CARAVELI</v>
      </c>
      <c r="G378" s="25" t="str">
        <f ca="1">IFERROR(__xludf.DUMMYFUNCTION("""COMPUTED_VALUE"""),"ACARI")</f>
        <v>ACARI</v>
      </c>
      <c r="H378" s="25" t="str">
        <f ca="1">IFERROR(__xludf.DUMMYFUNCTION("""COMPUTED_VALUE"""),"URBANO")</f>
        <v>URBANO</v>
      </c>
      <c r="I378" s="25" t="str">
        <f ca="1">IFERROR(__xludf.DUMMYFUNCTION("""COMPUTED_VALUE"""),"Prioridad 1")</f>
        <v>Prioridad 1</v>
      </c>
      <c r="J378" s="43" t="s">
        <v>263</v>
      </c>
    </row>
    <row r="379" spans="2:10">
      <c r="B379" s="25" t="str">
        <f ca="1">IFERROR(__xludf.DUMMYFUNCTION("""COMPUTED_VALUE"""),"MUNICIPALIDAD DISTRITAL")</f>
        <v>MUNICIPALIDAD DISTRITAL</v>
      </c>
      <c r="C379" s="25" t="str">
        <f ca="1">IFERROR(__xludf.DUMMYFUNCTION("""COMPUTED_VALUE"""),"MUNICIPALIDAD DISTRITAL DE ATICO")</f>
        <v>MUNICIPALIDAD DISTRITAL DE ATICO</v>
      </c>
      <c r="D379" s="25" t="str">
        <f ca="1">IFERROR(__xludf.DUMMYFUNCTION("""COMPUTED_VALUE"""),"AREQUIPA")</f>
        <v>AREQUIPA</v>
      </c>
      <c r="E379" s="25" t="str">
        <f ca="1">IFERROR(__xludf.DUMMYFUNCTION("""COMPUTED_VALUE"""),"AREQUIPA")</f>
        <v>AREQUIPA</v>
      </c>
      <c r="F379" s="25" t="str">
        <f ca="1">IFERROR(__xludf.DUMMYFUNCTION("""COMPUTED_VALUE"""),"CARAVELI")</f>
        <v>CARAVELI</v>
      </c>
      <c r="G379" s="25" t="str">
        <f ca="1">IFERROR(__xludf.DUMMYFUNCTION("""COMPUTED_VALUE"""),"ATICO")</f>
        <v>ATICO</v>
      </c>
      <c r="H379" s="25" t="str">
        <f ca="1">IFERROR(__xludf.DUMMYFUNCTION("""COMPUTED_VALUE"""),"URBANO")</f>
        <v>URBANO</v>
      </c>
      <c r="I379" s="25" t="str">
        <f ca="1">IFERROR(__xludf.DUMMYFUNCTION("""COMPUTED_VALUE"""),"Prioridad 1")</f>
        <v>Prioridad 1</v>
      </c>
      <c r="J379" s="43" t="s">
        <v>263</v>
      </c>
    </row>
    <row r="380" spans="2:10">
      <c r="B380" s="25" t="str">
        <f ca="1">IFERROR(__xludf.DUMMYFUNCTION("""COMPUTED_VALUE"""),"MUNICIPALIDAD DISTRITAL")</f>
        <v>MUNICIPALIDAD DISTRITAL</v>
      </c>
      <c r="C380" s="25" t="str">
        <f ca="1">IFERROR(__xludf.DUMMYFUNCTION("""COMPUTED_VALUE"""),"MUNICIPALIDAD DISTRITAL DE ATIQUIPA")</f>
        <v>MUNICIPALIDAD DISTRITAL DE ATIQUIPA</v>
      </c>
      <c r="D380" s="25" t="str">
        <f ca="1">IFERROR(__xludf.DUMMYFUNCTION("""COMPUTED_VALUE"""),"AREQUIPA")</f>
        <v>AREQUIPA</v>
      </c>
      <c r="E380" s="25" t="str">
        <f ca="1">IFERROR(__xludf.DUMMYFUNCTION("""COMPUTED_VALUE"""),"AREQUIPA")</f>
        <v>AREQUIPA</v>
      </c>
      <c r="F380" s="25" t="str">
        <f ca="1">IFERROR(__xludf.DUMMYFUNCTION("""COMPUTED_VALUE"""),"CARAVELI")</f>
        <v>CARAVELI</v>
      </c>
      <c r="G380" s="25" t="str">
        <f ca="1">IFERROR(__xludf.DUMMYFUNCTION("""COMPUTED_VALUE"""),"ATIQUIPA")</f>
        <v>ATIQUIPA</v>
      </c>
      <c r="H380" s="25" t="str">
        <f ca="1">IFERROR(__xludf.DUMMYFUNCTION("""COMPUTED_VALUE"""),"RURAL")</f>
        <v>RURAL</v>
      </c>
      <c r="I380" s="25" t="str">
        <f ca="1">IFERROR(__xludf.DUMMYFUNCTION("""COMPUTED_VALUE"""),"Prioridad 3")</f>
        <v>Prioridad 3</v>
      </c>
      <c r="J380" s="43" t="s">
        <v>263</v>
      </c>
    </row>
    <row r="381" spans="2:10">
      <c r="B381" s="25" t="str">
        <f ca="1">IFERROR(__xludf.DUMMYFUNCTION("""COMPUTED_VALUE"""),"MUNICIPALIDAD DISTRITAL")</f>
        <v>MUNICIPALIDAD DISTRITAL</v>
      </c>
      <c r="C381" s="25" t="str">
        <f ca="1">IFERROR(__xludf.DUMMYFUNCTION("""COMPUTED_VALUE"""),"MUNICIPALIDAD DISTRITAL DE BELLA UNION")</f>
        <v>MUNICIPALIDAD DISTRITAL DE BELLA UNION</v>
      </c>
      <c r="D381" s="25" t="str">
        <f ca="1">IFERROR(__xludf.DUMMYFUNCTION("""COMPUTED_VALUE"""),"AREQUIPA")</f>
        <v>AREQUIPA</v>
      </c>
      <c r="E381" s="25" t="str">
        <f ca="1">IFERROR(__xludf.DUMMYFUNCTION("""COMPUTED_VALUE"""),"AREQUIPA")</f>
        <v>AREQUIPA</v>
      </c>
      <c r="F381" s="25" t="str">
        <f ca="1">IFERROR(__xludf.DUMMYFUNCTION("""COMPUTED_VALUE"""),"CARAVELI")</f>
        <v>CARAVELI</v>
      </c>
      <c r="G381" s="25" t="str">
        <f ca="1">IFERROR(__xludf.DUMMYFUNCTION("""COMPUTED_VALUE"""),"BELLA UNION")</f>
        <v>BELLA UNION</v>
      </c>
      <c r="H381" s="25" t="str">
        <f ca="1">IFERROR(__xludf.DUMMYFUNCTION("""COMPUTED_VALUE"""),"URBANO")</f>
        <v>URBANO</v>
      </c>
      <c r="I381" s="25" t="str">
        <f ca="1">IFERROR(__xludf.DUMMYFUNCTION("""COMPUTED_VALUE"""),"Prioridad 2")</f>
        <v>Prioridad 2</v>
      </c>
      <c r="J381" s="43" t="s">
        <v>263</v>
      </c>
    </row>
    <row r="382" spans="2:10">
      <c r="B382" s="25" t="str">
        <f ca="1">IFERROR(__xludf.DUMMYFUNCTION("""COMPUTED_VALUE"""),"MUNICIPALIDAD DISTRITAL")</f>
        <v>MUNICIPALIDAD DISTRITAL</v>
      </c>
      <c r="C382" s="25" t="str">
        <f ca="1">IFERROR(__xludf.DUMMYFUNCTION("""COMPUTED_VALUE"""),"MUNICIPALIDAD DISTRITAL DE CAHUACHO")</f>
        <v>MUNICIPALIDAD DISTRITAL DE CAHUACHO</v>
      </c>
      <c r="D382" s="25" t="str">
        <f ca="1">IFERROR(__xludf.DUMMYFUNCTION("""COMPUTED_VALUE"""),"AREQUIPA")</f>
        <v>AREQUIPA</v>
      </c>
      <c r="E382" s="25" t="str">
        <f ca="1">IFERROR(__xludf.DUMMYFUNCTION("""COMPUTED_VALUE"""),"AREQUIPA")</f>
        <v>AREQUIPA</v>
      </c>
      <c r="F382" s="25" t="str">
        <f ca="1">IFERROR(__xludf.DUMMYFUNCTION("""COMPUTED_VALUE"""),"CARAVELI")</f>
        <v>CARAVELI</v>
      </c>
      <c r="G382" s="25" t="str">
        <f ca="1">IFERROR(__xludf.DUMMYFUNCTION("""COMPUTED_VALUE"""),"CAHUACHO")</f>
        <v>CAHUACHO</v>
      </c>
      <c r="H382" s="25" t="str">
        <f ca="1">IFERROR(__xludf.DUMMYFUNCTION("""COMPUTED_VALUE"""),"RURAL")</f>
        <v>RURAL</v>
      </c>
      <c r="I382" s="25" t="str">
        <f ca="1">IFERROR(__xludf.DUMMYFUNCTION("""COMPUTED_VALUE"""),"Prioridad 5")</f>
        <v>Prioridad 5</v>
      </c>
      <c r="J382" s="43" t="s">
        <v>263</v>
      </c>
    </row>
    <row r="383" spans="2:10">
      <c r="B383" s="25" t="str">
        <f ca="1">IFERROR(__xludf.DUMMYFUNCTION("""COMPUTED_VALUE"""),"MUNICIPALIDAD DISTRITAL")</f>
        <v>MUNICIPALIDAD DISTRITAL</v>
      </c>
      <c r="C383" s="25" t="str">
        <f ca="1">IFERROR(__xludf.DUMMYFUNCTION("""COMPUTED_VALUE"""),"MUNICIPALIDAD DISTRITAL DE CHALA")</f>
        <v>MUNICIPALIDAD DISTRITAL DE CHALA</v>
      </c>
      <c r="D383" s="25" t="str">
        <f ca="1">IFERROR(__xludf.DUMMYFUNCTION("""COMPUTED_VALUE"""),"AREQUIPA")</f>
        <v>AREQUIPA</v>
      </c>
      <c r="E383" s="25" t="str">
        <f ca="1">IFERROR(__xludf.DUMMYFUNCTION("""COMPUTED_VALUE"""),"AREQUIPA")</f>
        <v>AREQUIPA</v>
      </c>
      <c r="F383" s="25" t="str">
        <f ca="1">IFERROR(__xludf.DUMMYFUNCTION("""COMPUTED_VALUE"""),"CARAVELI")</f>
        <v>CARAVELI</v>
      </c>
      <c r="G383" s="25" t="str">
        <f ca="1">IFERROR(__xludf.DUMMYFUNCTION("""COMPUTED_VALUE"""),"CHALA")</f>
        <v>CHALA</v>
      </c>
      <c r="H383" s="25" t="str">
        <f ca="1">IFERROR(__xludf.DUMMYFUNCTION("""COMPUTED_VALUE"""),"URBANO")</f>
        <v>URBANO</v>
      </c>
      <c r="I383" s="25" t="str">
        <f ca="1">IFERROR(__xludf.DUMMYFUNCTION("""COMPUTED_VALUE"""),"Prioridad 1")</f>
        <v>Prioridad 1</v>
      </c>
      <c r="J383" s="43" t="s">
        <v>263</v>
      </c>
    </row>
    <row r="384" spans="2:10">
      <c r="B384" s="25" t="str">
        <f ca="1">IFERROR(__xludf.DUMMYFUNCTION("""COMPUTED_VALUE"""),"MUNICIPALIDAD DISTRITAL")</f>
        <v>MUNICIPALIDAD DISTRITAL</v>
      </c>
      <c r="C384" s="25" t="str">
        <f ca="1">IFERROR(__xludf.DUMMYFUNCTION("""COMPUTED_VALUE"""),"MUNICIPALIDAD DISTRITAL DE CHAPARRA")</f>
        <v>MUNICIPALIDAD DISTRITAL DE CHAPARRA</v>
      </c>
      <c r="D384" s="25" t="str">
        <f ca="1">IFERROR(__xludf.DUMMYFUNCTION("""COMPUTED_VALUE"""),"AREQUIPA")</f>
        <v>AREQUIPA</v>
      </c>
      <c r="E384" s="25" t="str">
        <f ca="1">IFERROR(__xludf.DUMMYFUNCTION("""COMPUTED_VALUE"""),"AREQUIPA")</f>
        <v>AREQUIPA</v>
      </c>
      <c r="F384" s="25" t="str">
        <f ca="1">IFERROR(__xludf.DUMMYFUNCTION("""COMPUTED_VALUE"""),"CARAVELI")</f>
        <v>CARAVELI</v>
      </c>
      <c r="G384" s="25" t="str">
        <f ca="1">IFERROR(__xludf.DUMMYFUNCTION("""COMPUTED_VALUE"""),"CHAPARRA")</f>
        <v>CHAPARRA</v>
      </c>
      <c r="H384" s="25" t="str">
        <f ca="1">IFERROR(__xludf.DUMMYFUNCTION("""COMPUTED_VALUE"""),"URBANO")</f>
        <v>URBANO</v>
      </c>
      <c r="I384" s="25" t="str">
        <f ca="1">IFERROR(__xludf.DUMMYFUNCTION("""COMPUTED_VALUE"""),"Prioridad 3")</f>
        <v>Prioridad 3</v>
      </c>
      <c r="J384" s="43" t="s">
        <v>263</v>
      </c>
    </row>
    <row r="385" spans="2:10">
      <c r="B385" s="25" t="str">
        <f ca="1">IFERROR(__xludf.DUMMYFUNCTION("""COMPUTED_VALUE"""),"MUNICIPALIDAD DISTRITAL")</f>
        <v>MUNICIPALIDAD DISTRITAL</v>
      </c>
      <c r="C385" s="25" t="str">
        <f ca="1">IFERROR(__xludf.DUMMYFUNCTION("""COMPUTED_VALUE"""),"MUNICIPALIDAD DISTRITAL DE HUANUHUANU")</f>
        <v>MUNICIPALIDAD DISTRITAL DE HUANUHUANU</v>
      </c>
      <c r="D385" s="25" t="str">
        <f ca="1">IFERROR(__xludf.DUMMYFUNCTION("""COMPUTED_VALUE"""),"AREQUIPA")</f>
        <v>AREQUIPA</v>
      </c>
      <c r="E385" s="25" t="str">
        <f ca="1">IFERROR(__xludf.DUMMYFUNCTION("""COMPUTED_VALUE"""),"AREQUIPA")</f>
        <v>AREQUIPA</v>
      </c>
      <c r="F385" s="25" t="str">
        <f ca="1">IFERROR(__xludf.DUMMYFUNCTION("""COMPUTED_VALUE"""),"CARAVELI")</f>
        <v>CARAVELI</v>
      </c>
      <c r="G385" s="25" t="str">
        <f ca="1">IFERROR(__xludf.DUMMYFUNCTION("""COMPUTED_VALUE"""),"HUANUHUANU")</f>
        <v>HUANUHUANU</v>
      </c>
      <c r="H385" s="25" t="str">
        <f ca="1">IFERROR(__xludf.DUMMYFUNCTION("""COMPUTED_VALUE"""),"RURAL")</f>
        <v>RURAL</v>
      </c>
      <c r="I385" s="25" t="str">
        <f ca="1">IFERROR(__xludf.DUMMYFUNCTION("""COMPUTED_VALUE"""),"Prioridad 3")</f>
        <v>Prioridad 3</v>
      </c>
      <c r="J385" s="43" t="s">
        <v>263</v>
      </c>
    </row>
    <row r="386" spans="2:10">
      <c r="B386" s="25" t="str">
        <f ca="1">IFERROR(__xludf.DUMMYFUNCTION("""COMPUTED_VALUE"""),"MUNICIPALIDAD DISTRITAL")</f>
        <v>MUNICIPALIDAD DISTRITAL</v>
      </c>
      <c r="C386" s="25" t="str">
        <f ca="1">IFERROR(__xludf.DUMMYFUNCTION("""COMPUTED_VALUE"""),"MUNICIPALIDAD DISTRITAL DE JAQUI")</f>
        <v>MUNICIPALIDAD DISTRITAL DE JAQUI</v>
      </c>
      <c r="D386" s="25" t="str">
        <f ca="1">IFERROR(__xludf.DUMMYFUNCTION("""COMPUTED_VALUE"""),"AREQUIPA")</f>
        <v>AREQUIPA</v>
      </c>
      <c r="E386" s="25" t="str">
        <f ca="1">IFERROR(__xludf.DUMMYFUNCTION("""COMPUTED_VALUE"""),"AREQUIPA")</f>
        <v>AREQUIPA</v>
      </c>
      <c r="F386" s="25" t="str">
        <f ca="1">IFERROR(__xludf.DUMMYFUNCTION("""COMPUTED_VALUE"""),"CARAVELI")</f>
        <v>CARAVELI</v>
      </c>
      <c r="G386" s="25" t="str">
        <f ca="1">IFERROR(__xludf.DUMMYFUNCTION("""COMPUTED_VALUE"""),"JAQUI")</f>
        <v>JAQUI</v>
      </c>
      <c r="H386" s="25" t="str">
        <f ca="1">IFERROR(__xludf.DUMMYFUNCTION("""COMPUTED_VALUE"""),"RURAL")</f>
        <v>RURAL</v>
      </c>
      <c r="I386" s="25" t="str">
        <f ca="1">IFERROR(__xludf.DUMMYFUNCTION("""COMPUTED_VALUE"""),"Prioridad 1")</f>
        <v>Prioridad 1</v>
      </c>
      <c r="J386" s="43" t="s">
        <v>263</v>
      </c>
    </row>
    <row r="387" spans="2:10">
      <c r="B387" s="25" t="str">
        <f ca="1">IFERROR(__xludf.DUMMYFUNCTION("""COMPUTED_VALUE"""),"MUNICIPALIDAD DISTRITAL")</f>
        <v>MUNICIPALIDAD DISTRITAL</v>
      </c>
      <c r="C387" s="25" t="str">
        <f ca="1">IFERROR(__xludf.DUMMYFUNCTION("""COMPUTED_VALUE"""),"MUNICIPALIDAD DISTRITAL DE LOMAS")</f>
        <v>MUNICIPALIDAD DISTRITAL DE LOMAS</v>
      </c>
      <c r="D387" s="25" t="str">
        <f ca="1">IFERROR(__xludf.DUMMYFUNCTION("""COMPUTED_VALUE"""),"AREQUIPA")</f>
        <v>AREQUIPA</v>
      </c>
      <c r="E387" s="25" t="str">
        <f ca="1">IFERROR(__xludf.DUMMYFUNCTION("""COMPUTED_VALUE"""),"AREQUIPA")</f>
        <v>AREQUIPA</v>
      </c>
      <c r="F387" s="25" t="str">
        <f ca="1">IFERROR(__xludf.DUMMYFUNCTION("""COMPUTED_VALUE"""),"CARAVELI")</f>
        <v>CARAVELI</v>
      </c>
      <c r="G387" s="25" t="str">
        <f ca="1">IFERROR(__xludf.DUMMYFUNCTION("""COMPUTED_VALUE"""),"LOMAS")</f>
        <v>LOMAS</v>
      </c>
      <c r="H387" s="25" t="str">
        <f ca="1">IFERROR(__xludf.DUMMYFUNCTION("""COMPUTED_VALUE"""),"RURAL")</f>
        <v>RURAL</v>
      </c>
      <c r="I387" s="25" t="str">
        <f ca="1">IFERROR(__xludf.DUMMYFUNCTION("""COMPUTED_VALUE"""),"Prioridad 1")</f>
        <v>Prioridad 1</v>
      </c>
      <c r="J387" s="43" t="s">
        <v>263</v>
      </c>
    </row>
    <row r="388" spans="2:10">
      <c r="B388" s="25" t="str">
        <f ca="1">IFERROR(__xludf.DUMMYFUNCTION("""COMPUTED_VALUE"""),"MUNICIPALIDAD DISTRITAL")</f>
        <v>MUNICIPALIDAD DISTRITAL</v>
      </c>
      <c r="C388" s="25" t="str">
        <f ca="1">IFERROR(__xludf.DUMMYFUNCTION("""COMPUTED_VALUE"""),"MUNICIPALIDAD DISTRITAL DE QUICACHA")</f>
        <v>MUNICIPALIDAD DISTRITAL DE QUICACHA</v>
      </c>
      <c r="D388" s="25" t="str">
        <f ca="1">IFERROR(__xludf.DUMMYFUNCTION("""COMPUTED_VALUE"""),"AREQUIPA")</f>
        <v>AREQUIPA</v>
      </c>
      <c r="E388" s="25" t="str">
        <f ca="1">IFERROR(__xludf.DUMMYFUNCTION("""COMPUTED_VALUE"""),"AREQUIPA")</f>
        <v>AREQUIPA</v>
      </c>
      <c r="F388" s="25" t="str">
        <f ca="1">IFERROR(__xludf.DUMMYFUNCTION("""COMPUTED_VALUE"""),"CARAVELI")</f>
        <v>CARAVELI</v>
      </c>
      <c r="G388" s="25" t="str">
        <f ca="1">IFERROR(__xludf.DUMMYFUNCTION("""COMPUTED_VALUE"""),"QUICACHA")</f>
        <v>QUICACHA</v>
      </c>
      <c r="H388" s="25" t="str">
        <f ca="1">IFERROR(__xludf.DUMMYFUNCTION("""COMPUTED_VALUE"""),"RURAL")</f>
        <v>RURAL</v>
      </c>
      <c r="I388" s="25" t="str">
        <f ca="1">IFERROR(__xludf.DUMMYFUNCTION("""COMPUTED_VALUE"""),"Prioridad 3")</f>
        <v>Prioridad 3</v>
      </c>
      <c r="J388" s="43" t="s">
        <v>263</v>
      </c>
    </row>
    <row r="389" spans="2:10">
      <c r="B389" s="25" t="str">
        <f ca="1">IFERROR(__xludf.DUMMYFUNCTION("""COMPUTED_VALUE"""),"MUNICIPALIDAD DISTRITAL")</f>
        <v>MUNICIPALIDAD DISTRITAL</v>
      </c>
      <c r="C389" s="25" t="str">
        <f ca="1">IFERROR(__xludf.DUMMYFUNCTION("""COMPUTED_VALUE"""),"MUNICIPALIDAD DISTRITAL DE YAUCA")</f>
        <v>MUNICIPALIDAD DISTRITAL DE YAUCA</v>
      </c>
      <c r="D389" s="25" t="str">
        <f ca="1">IFERROR(__xludf.DUMMYFUNCTION("""COMPUTED_VALUE"""),"AREQUIPA")</f>
        <v>AREQUIPA</v>
      </c>
      <c r="E389" s="25" t="str">
        <f ca="1">IFERROR(__xludf.DUMMYFUNCTION("""COMPUTED_VALUE"""),"AREQUIPA")</f>
        <v>AREQUIPA</v>
      </c>
      <c r="F389" s="25" t="str">
        <f ca="1">IFERROR(__xludf.DUMMYFUNCTION("""COMPUTED_VALUE"""),"CARAVELI")</f>
        <v>CARAVELI</v>
      </c>
      <c r="G389" s="25" t="str">
        <f ca="1">IFERROR(__xludf.DUMMYFUNCTION("""COMPUTED_VALUE"""),"YAUCA")</f>
        <v>YAUCA</v>
      </c>
      <c r="H389" s="25" t="str">
        <f ca="1">IFERROR(__xludf.DUMMYFUNCTION("""COMPUTED_VALUE"""),"RURAL")</f>
        <v>RURAL</v>
      </c>
      <c r="I389" s="25" t="str">
        <f ca="1">IFERROR(__xludf.DUMMYFUNCTION("""COMPUTED_VALUE"""),"Prioridad 1")</f>
        <v>Prioridad 1</v>
      </c>
      <c r="J389" s="43" t="s">
        <v>263</v>
      </c>
    </row>
    <row r="390" spans="2:10">
      <c r="B390" s="25" t="str">
        <f ca="1">IFERROR(__xludf.DUMMYFUNCTION("""COMPUTED_VALUE"""),"MUNICIPALIDAD PROVINCIAL")</f>
        <v>MUNICIPALIDAD PROVINCIAL</v>
      </c>
      <c r="C390" s="25" t="str">
        <f ca="1">IFERROR(__xludf.DUMMYFUNCTION("""COMPUTED_VALUE"""),"MUNICIPALIDAD PROVINCIAL DE CASTILLA")</f>
        <v>MUNICIPALIDAD PROVINCIAL DE CASTILLA</v>
      </c>
      <c r="D390" s="25" t="str">
        <f ca="1">IFERROR(__xludf.DUMMYFUNCTION("""COMPUTED_VALUE"""),"AREQUIPA")</f>
        <v>AREQUIPA</v>
      </c>
      <c r="E390" s="25" t="str">
        <f ca="1">IFERROR(__xludf.DUMMYFUNCTION("""COMPUTED_VALUE"""),"AREQUIPA")</f>
        <v>AREQUIPA</v>
      </c>
      <c r="F390" s="25" t="str">
        <f ca="1">IFERROR(__xludf.DUMMYFUNCTION("""COMPUTED_VALUE"""),"CASTILLA")</f>
        <v>CASTILLA</v>
      </c>
      <c r="G390" s="25" t="str">
        <f ca="1">IFERROR(__xludf.DUMMYFUNCTION("""COMPUTED_VALUE"""),"APLAO")</f>
        <v>APLAO</v>
      </c>
      <c r="H390" s="25" t="str">
        <f ca="1">IFERROR(__xludf.DUMMYFUNCTION("""COMPUTED_VALUE"""),"URBANO")</f>
        <v>URBANO</v>
      </c>
      <c r="I390" s="25" t="str">
        <f ca="1">IFERROR(__xludf.DUMMYFUNCTION("""COMPUTED_VALUE"""),"Prioridad 1")</f>
        <v>Prioridad 1</v>
      </c>
      <c r="J390" s="43" t="s">
        <v>263</v>
      </c>
    </row>
    <row r="391" spans="2:10">
      <c r="B391" s="25" t="str">
        <f ca="1">IFERROR(__xludf.DUMMYFUNCTION("""COMPUTED_VALUE"""),"MUNICIPALIDAD DISTRITAL")</f>
        <v>MUNICIPALIDAD DISTRITAL</v>
      </c>
      <c r="C391" s="25" t="str">
        <f ca="1">IFERROR(__xludf.DUMMYFUNCTION("""COMPUTED_VALUE"""),"MUNICIPALIDAD DISTRITAL DE ANDAGUA")</f>
        <v>MUNICIPALIDAD DISTRITAL DE ANDAGUA</v>
      </c>
      <c r="D391" s="25" t="str">
        <f ca="1">IFERROR(__xludf.DUMMYFUNCTION("""COMPUTED_VALUE"""),"AREQUIPA")</f>
        <v>AREQUIPA</v>
      </c>
      <c r="E391" s="25" t="str">
        <f ca="1">IFERROR(__xludf.DUMMYFUNCTION("""COMPUTED_VALUE"""),"AREQUIPA")</f>
        <v>AREQUIPA</v>
      </c>
      <c r="F391" s="25" t="str">
        <f ca="1">IFERROR(__xludf.DUMMYFUNCTION("""COMPUTED_VALUE"""),"CASTILLA")</f>
        <v>CASTILLA</v>
      </c>
      <c r="G391" s="25" t="str">
        <f ca="1">IFERROR(__xludf.DUMMYFUNCTION("""COMPUTED_VALUE"""),"ANDAGUA")</f>
        <v>ANDAGUA</v>
      </c>
      <c r="H391" s="25" t="str">
        <f ca="1">IFERROR(__xludf.DUMMYFUNCTION("""COMPUTED_VALUE"""),"RURAL")</f>
        <v>RURAL</v>
      </c>
      <c r="I391" s="25" t="str">
        <f ca="1">IFERROR(__xludf.DUMMYFUNCTION("""COMPUTED_VALUE"""),"Prioridad 2")</f>
        <v>Prioridad 2</v>
      </c>
      <c r="J391" s="43" t="s">
        <v>263</v>
      </c>
    </row>
    <row r="392" spans="2:10">
      <c r="B392" s="25" t="str">
        <f ca="1">IFERROR(__xludf.DUMMYFUNCTION("""COMPUTED_VALUE"""),"MUNICIPALIDAD DISTRITAL")</f>
        <v>MUNICIPALIDAD DISTRITAL</v>
      </c>
      <c r="C392" s="25" t="str">
        <f ca="1">IFERROR(__xludf.DUMMYFUNCTION("""COMPUTED_VALUE"""),"MUNICIPALIDAD DISTRITAL DE AYO")</f>
        <v>MUNICIPALIDAD DISTRITAL DE AYO</v>
      </c>
      <c r="D392" s="25" t="str">
        <f ca="1">IFERROR(__xludf.DUMMYFUNCTION("""COMPUTED_VALUE"""),"AREQUIPA")</f>
        <v>AREQUIPA</v>
      </c>
      <c r="E392" s="25" t="str">
        <f ca="1">IFERROR(__xludf.DUMMYFUNCTION("""COMPUTED_VALUE"""),"AREQUIPA")</f>
        <v>AREQUIPA</v>
      </c>
      <c r="F392" s="25" t="str">
        <f ca="1">IFERROR(__xludf.DUMMYFUNCTION("""COMPUTED_VALUE"""),"CASTILLA")</f>
        <v>CASTILLA</v>
      </c>
      <c r="G392" s="25" t="str">
        <f ca="1">IFERROR(__xludf.DUMMYFUNCTION("""COMPUTED_VALUE"""),"AYO")</f>
        <v>AYO</v>
      </c>
      <c r="H392" s="25" t="str">
        <f ca="1">IFERROR(__xludf.DUMMYFUNCTION("""COMPUTED_VALUE"""),"RURAL")</f>
        <v>RURAL</v>
      </c>
      <c r="I392" s="25" t="str">
        <f ca="1">IFERROR(__xludf.DUMMYFUNCTION("""COMPUTED_VALUE"""),"Prioridad 2")</f>
        <v>Prioridad 2</v>
      </c>
      <c r="J392" s="43" t="s">
        <v>263</v>
      </c>
    </row>
    <row r="393" spans="2:10">
      <c r="B393" s="25" t="str">
        <f ca="1">IFERROR(__xludf.DUMMYFUNCTION("""COMPUTED_VALUE"""),"MUNICIPALIDAD DISTRITAL")</f>
        <v>MUNICIPALIDAD DISTRITAL</v>
      </c>
      <c r="C393" s="25" t="str">
        <f ca="1">IFERROR(__xludf.DUMMYFUNCTION("""COMPUTED_VALUE"""),"MUNICIPALIDAD DISTRITAL DE CHACHAS")</f>
        <v>MUNICIPALIDAD DISTRITAL DE CHACHAS</v>
      </c>
      <c r="D393" s="25" t="str">
        <f ca="1">IFERROR(__xludf.DUMMYFUNCTION("""COMPUTED_VALUE"""),"AREQUIPA")</f>
        <v>AREQUIPA</v>
      </c>
      <c r="E393" s="25" t="str">
        <f ca="1">IFERROR(__xludf.DUMMYFUNCTION("""COMPUTED_VALUE"""),"AREQUIPA")</f>
        <v>AREQUIPA</v>
      </c>
      <c r="F393" s="25" t="str">
        <f ca="1">IFERROR(__xludf.DUMMYFUNCTION("""COMPUTED_VALUE"""),"CASTILLA")</f>
        <v>CASTILLA</v>
      </c>
      <c r="G393" s="25" t="str">
        <f ca="1">IFERROR(__xludf.DUMMYFUNCTION("""COMPUTED_VALUE"""),"CHACHAS")</f>
        <v>CHACHAS</v>
      </c>
      <c r="H393" s="25" t="str">
        <f ca="1">IFERROR(__xludf.DUMMYFUNCTION("""COMPUTED_VALUE"""),"RURAL")</f>
        <v>RURAL</v>
      </c>
      <c r="I393" s="25" t="str">
        <f ca="1">IFERROR(__xludf.DUMMYFUNCTION("""COMPUTED_VALUE"""),"Prioridad 3")</f>
        <v>Prioridad 3</v>
      </c>
      <c r="J393" s="43" t="s">
        <v>263</v>
      </c>
    </row>
    <row r="394" spans="2:10">
      <c r="B394" s="25" t="str">
        <f ca="1">IFERROR(__xludf.DUMMYFUNCTION("""COMPUTED_VALUE"""),"MUNICIPALIDAD DISTRITAL")</f>
        <v>MUNICIPALIDAD DISTRITAL</v>
      </c>
      <c r="C394" s="25" t="str">
        <f ca="1">IFERROR(__xludf.DUMMYFUNCTION("""COMPUTED_VALUE"""),"MUNICIPALIDAD DISTRITAL DE CHILCAYMARCA")</f>
        <v>MUNICIPALIDAD DISTRITAL DE CHILCAYMARCA</v>
      </c>
      <c r="D394" s="25" t="str">
        <f ca="1">IFERROR(__xludf.DUMMYFUNCTION("""COMPUTED_VALUE"""),"AREQUIPA")</f>
        <v>AREQUIPA</v>
      </c>
      <c r="E394" s="25" t="str">
        <f ca="1">IFERROR(__xludf.DUMMYFUNCTION("""COMPUTED_VALUE"""),"AREQUIPA")</f>
        <v>AREQUIPA</v>
      </c>
      <c r="F394" s="25" t="str">
        <f ca="1">IFERROR(__xludf.DUMMYFUNCTION("""COMPUTED_VALUE"""),"CASTILLA")</f>
        <v>CASTILLA</v>
      </c>
      <c r="G394" s="25" t="str">
        <f ca="1">IFERROR(__xludf.DUMMYFUNCTION("""COMPUTED_VALUE"""),"CHILCAYMARCA")</f>
        <v>CHILCAYMARCA</v>
      </c>
      <c r="H394" s="25" t="str">
        <f ca="1">IFERROR(__xludf.DUMMYFUNCTION("""COMPUTED_VALUE"""),"RURAL")</f>
        <v>RURAL</v>
      </c>
      <c r="I394" s="25" t="str">
        <f ca="1">IFERROR(__xludf.DUMMYFUNCTION("""COMPUTED_VALUE"""),"Prioridad 5")</f>
        <v>Prioridad 5</v>
      </c>
      <c r="J394" s="43" t="s">
        <v>263</v>
      </c>
    </row>
    <row r="395" spans="2:10">
      <c r="B395" s="25" t="str">
        <f ca="1">IFERROR(__xludf.DUMMYFUNCTION("""COMPUTED_VALUE"""),"MUNICIPALIDAD DISTRITAL")</f>
        <v>MUNICIPALIDAD DISTRITAL</v>
      </c>
      <c r="C395" s="25" t="str">
        <f ca="1">IFERROR(__xludf.DUMMYFUNCTION("""COMPUTED_VALUE"""),"MUNICIPALIDAD DISTRITAL DE CHOCO")</f>
        <v>MUNICIPALIDAD DISTRITAL DE CHOCO</v>
      </c>
      <c r="D395" s="25" t="str">
        <f ca="1">IFERROR(__xludf.DUMMYFUNCTION("""COMPUTED_VALUE"""),"AREQUIPA")</f>
        <v>AREQUIPA</v>
      </c>
      <c r="E395" s="25" t="str">
        <f ca="1">IFERROR(__xludf.DUMMYFUNCTION("""COMPUTED_VALUE"""),"AREQUIPA")</f>
        <v>AREQUIPA</v>
      </c>
      <c r="F395" s="25" t="str">
        <f ca="1">IFERROR(__xludf.DUMMYFUNCTION("""COMPUTED_VALUE"""),"CASTILLA")</f>
        <v>CASTILLA</v>
      </c>
      <c r="G395" s="25" t="str">
        <f ca="1">IFERROR(__xludf.DUMMYFUNCTION("""COMPUTED_VALUE"""),"CHOCO")</f>
        <v>CHOCO</v>
      </c>
      <c r="H395" s="25" t="str">
        <f ca="1">IFERROR(__xludf.DUMMYFUNCTION("""COMPUTED_VALUE"""),"RURAL")</f>
        <v>RURAL</v>
      </c>
      <c r="I395" s="25" t="str">
        <f ca="1">IFERROR(__xludf.DUMMYFUNCTION("""COMPUTED_VALUE"""),"Prioridad 3")</f>
        <v>Prioridad 3</v>
      </c>
      <c r="J395" s="43" t="s">
        <v>263</v>
      </c>
    </row>
    <row r="396" spans="2:10">
      <c r="B396" s="25" t="str">
        <f ca="1">IFERROR(__xludf.DUMMYFUNCTION("""COMPUTED_VALUE"""),"MUNICIPALIDAD DISTRITAL")</f>
        <v>MUNICIPALIDAD DISTRITAL</v>
      </c>
      <c r="C396" s="25" t="str">
        <f ca="1">IFERROR(__xludf.DUMMYFUNCTION("""COMPUTED_VALUE"""),"MUNICIPALIDAD DISTRITAL DE HUANCARQUI")</f>
        <v>MUNICIPALIDAD DISTRITAL DE HUANCARQUI</v>
      </c>
      <c r="D396" s="25" t="str">
        <f ca="1">IFERROR(__xludf.DUMMYFUNCTION("""COMPUTED_VALUE"""),"AREQUIPA")</f>
        <v>AREQUIPA</v>
      </c>
      <c r="E396" s="25" t="str">
        <f ca="1">IFERROR(__xludf.DUMMYFUNCTION("""COMPUTED_VALUE"""),"AREQUIPA")</f>
        <v>AREQUIPA</v>
      </c>
      <c r="F396" s="25" t="str">
        <f ca="1">IFERROR(__xludf.DUMMYFUNCTION("""COMPUTED_VALUE"""),"CASTILLA")</f>
        <v>CASTILLA</v>
      </c>
      <c r="G396" s="25" t="str">
        <f ca="1">IFERROR(__xludf.DUMMYFUNCTION("""COMPUTED_VALUE"""),"HUANCARQUI")</f>
        <v>HUANCARQUI</v>
      </c>
      <c r="H396" s="25" t="str">
        <f ca="1">IFERROR(__xludf.DUMMYFUNCTION("""COMPUTED_VALUE"""),"RURAL")</f>
        <v>RURAL</v>
      </c>
      <c r="I396" s="25" t="str">
        <f ca="1">IFERROR(__xludf.DUMMYFUNCTION("""COMPUTED_VALUE"""),"Prioridad 2")</f>
        <v>Prioridad 2</v>
      </c>
      <c r="J396" s="43" t="s">
        <v>263</v>
      </c>
    </row>
    <row r="397" spans="2:10">
      <c r="B397" s="25" t="str">
        <f ca="1">IFERROR(__xludf.DUMMYFUNCTION("""COMPUTED_VALUE"""),"MUNICIPALIDAD DISTRITAL")</f>
        <v>MUNICIPALIDAD DISTRITAL</v>
      </c>
      <c r="C397" s="25" t="str">
        <f ca="1">IFERROR(__xludf.DUMMYFUNCTION("""COMPUTED_VALUE"""),"MUNICIPALIDAD DISTRITAL DE MACHAGUAY")</f>
        <v>MUNICIPALIDAD DISTRITAL DE MACHAGUAY</v>
      </c>
      <c r="D397" s="25" t="str">
        <f ca="1">IFERROR(__xludf.DUMMYFUNCTION("""COMPUTED_VALUE"""),"AREQUIPA")</f>
        <v>AREQUIPA</v>
      </c>
      <c r="E397" s="25" t="str">
        <f ca="1">IFERROR(__xludf.DUMMYFUNCTION("""COMPUTED_VALUE"""),"AREQUIPA")</f>
        <v>AREQUIPA</v>
      </c>
      <c r="F397" s="25" t="str">
        <f ca="1">IFERROR(__xludf.DUMMYFUNCTION("""COMPUTED_VALUE"""),"CASTILLA")</f>
        <v>CASTILLA</v>
      </c>
      <c r="G397" s="25" t="str">
        <f ca="1">IFERROR(__xludf.DUMMYFUNCTION("""COMPUTED_VALUE"""),"MACHAGUAY")</f>
        <v>MACHAGUAY</v>
      </c>
      <c r="H397" s="25" t="str">
        <f ca="1">IFERROR(__xludf.DUMMYFUNCTION("""COMPUTED_VALUE"""),"RURAL")</f>
        <v>RURAL</v>
      </c>
      <c r="I397" s="25" t="str">
        <f ca="1">IFERROR(__xludf.DUMMYFUNCTION("""COMPUTED_VALUE"""),"Prioridad 5")</f>
        <v>Prioridad 5</v>
      </c>
      <c r="J397" s="43" t="s">
        <v>263</v>
      </c>
    </row>
    <row r="398" spans="2:10">
      <c r="B398" s="25" t="str">
        <f ca="1">IFERROR(__xludf.DUMMYFUNCTION("""COMPUTED_VALUE"""),"MUNICIPALIDAD DISTRITAL")</f>
        <v>MUNICIPALIDAD DISTRITAL</v>
      </c>
      <c r="C398" s="25" t="str">
        <f ca="1">IFERROR(__xludf.DUMMYFUNCTION("""COMPUTED_VALUE"""),"MUNICIPALIDAD DISTRITAL DE ORCOPAMPA")</f>
        <v>MUNICIPALIDAD DISTRITAL DE ORCOPAMPA</v>
      </c>
      <c r="D398" s="25" t="str">
        <f ca="1">IFERROR(__xludf.DUMMYFUNCTION("""COMPUTED_VALUE"""),"AREQUIPA")</f>
        <v>AREQUIPA</v>
      </c>
      <c r="E398" s="25" t="str">
        <f ca="1">IFERROR(__xludf.DUMMYFUNCTION("""COMPUTED_VALUE"""),"AREQUIPA")</f>
        <v>AREQUIPA</v>
      </c>
      <c r="F398" s="25" t="str">
        <f ca="1">IFERROR(__xludf.DUMMYFUNCTION("""COMPUTED_VALUE"""),"CASTILLA")</f>
        <v>CASTILLA</v>
      </c>
      <c r="G398" s="25" t="str">
        <f ca="1">IFERROR(__xludf.DUMMYFUNCTION("""COMPUTED_VALUE"""),"ORCOPAMPA")</f>
        <v>ORCOPAMPA</v>
      </c>
      <c r="H398" s="25" t="str">
        <f ca="1">IFERROR(__xludf.DUMMYFUNCTION("""COMPUTED_VALUE"""),"URBANO")</f>
        <v>URBANO</v>
      </c>
      <c r="I398" s="25" t="str">
        <f ca="1">IFERROR(__xludf.DUMMYFUNCTION("""COMPUTED_VALUE"""),"Prioridad 2")</f>
        <v>Prioridad 2</v>
      </c>
      <c r="J398" s="43" t="s">
        <v>263</v>
      </c>
    </row>
    <row r="399" spans="2:10">
      <c r="B399" s="25" t="str">
        <f ca="1">IFERROR(__xludf.DUMMYFUNCTION("""COMPUTED_VALUE"""),"MUNICIPALIDAD DISTRITAL")</f>
        <v>MUNICIPALIDAD DISTRITAL</v>
      </c>
      <c r="C399" s="25" t="str">
        <f ca="1">IFERROR(__xludf.DUMMYFUNCTION("""COMPUTED_VALUE"""),"MUNICIPALIDAD DISTRITAL DE PAMPACOLCA")</f>
        <v>MUNICIPALIDAD DISTRITAL DE PAMPACOLCA</v>
      </c>
      <c r="D399" s="25" t="str">
        <f ca="1">IFERROR(__xludf.DUMMYFUNCTION("""COMPUTED_VALUE"""),"AREQUIPA")</f>
        <v>AREQUIPA</v>
      </c>
      <c r="E399" s="25" t="str">
        <f ca="1">IFERROR(__xludf.DUMMYFUNCTION("""COMPUTED_VALUE"""),"AREQUIPA")</f>
        <v>AREQUIPA</v>
      </c>
      <c r="F399" s="25" t="str">
        <f ca="1">IFERROR(__xludf.DUMMYFUNCTION("""COMPUTED_VALUE"""),"CASTILLA")</f>
        <v>CASTILLA</v>
      </c>
      <c r="G399" s="25" t="str">
        <f ca="1">IFERROR(__xludf.DUMMYFUNCTION("""COMPUTED_VALUE"""),"PAMPACOLCA")</f>
        <v>PAMPACOLCA</v>
      </c>
      <c r="H399" s="25" t="str">
        <f ca="1">IFERROR(__xludf.DUMMYFUNCTION("""COMPUTED_VALUE"""),"RURAL")</f>
        <v>RURAL</v>
      </c>
      <c r="I399" s="25" t="str">
        <f ca="1">IFERROR(__xludf.DUMMYFUNCTION("""COMPUTED_VALUE"""),"Prioridad 2")</f>
        <v>Prioridad 2</v>
      </c>
      <c r="J399" s="43" t="s">
        <v>263</v>
      </c>
    </row>
    <row r="400" spans="2:10">
      <c r="B400" s="25" t="str">
        <f ca="1">IFERROR(__xludf.DUMMYFUNCTION("""COMPUTED_VALUE"""),"MUNICIPALIDAD DISTRITAL")</f>
        <v>MUNICIPALIDAD DISTRITAL</v>
      </c>
      <c r="C400" s="25" t="str">
        <f ca="1">IFERROR(__xludf.DUMMYFUNCTION("""COMPUTED_VALUE"""),"MUNICIPALIDAD DISTRITAL DE TIPAN")</f>
        <v>MUNICIPALIDAD DISTRITAL DE TIPAN</v>
      </c>
      <c r="D400" s="25" t="str">
        <f ca="1">IFERROR(__xludf.DUMMYFUNCTION("""COMPUTED_VALUE"""),"AREQUIPA")</f>
        <v>AREQUIPA</v>
      </c>
      <c r="E400" s="25" t="str">
        <f ca="1">IFERROR(__xludf.DUMMYFUNCTION("""COMPUTED_VALUE"""),"AREQUIPA")</f>
        <v>AREQUIPA</v>
      </c>
      <c r="F400" s="25" t="str">
        <f ca="1">IFERROR(__xludf.DUMMYFUNCTION("""COMPUTED_VALUE"""),"CASTILLA")</f>
        <v>CASTILLA</v>
      </c>
      <c r="G400" s="25" t="str">
        <f ca="1">IFERROR(__xludf.DUMMYFUNCTION("""COMPUTED_VALUE"""),"TIPAN")</f>
        <v>TIPAN</v>
      </c>
      <c r="H400" s="25" t="str">
        <f ca="1">IFERROR(__xludf.DUMMYFUNCTION("""COMPUTED_VALUE"""),"RURAL")</f>
        <v>RURAL</v>
      </c>
      <c r="I400" s="25" t="str">
        <f ca="1">IFERROR(__xludf.DUMMYFUNCTION("""COMPUTED_VALUE"""),"Prioridad 3")</f>
        <v>Prioridad 3</v>
      </c>
      <c r="J400" s="43" t="s">
        <v>263</v>
      </c>
    </row>
    <row r="401" spans="2:10">
      <c r="B401" s="25" t="str">
        <f ca="1">IFERROR(__xludf.DUMMYFUNCTION("""COMPUTED_VALUE"""),"MUNICIPALIDAD DISTRITAL")</f>
        <v>MUNICIPALIDAD DISTRITAL</v>
      </c>
      <c r="C401" s="25" t="str">
        <f ca="1">IFERROR(__xludf.DUMMYFUNCTION("""COMPUTED_VALUE"""),"MUNICIPALIDAD DISTRITAL DE UÑON")</f>
        <v>MUNICIPALIDAD DISTRITAL DE UÑON</v>
      </c>
      <c r="D401" s="25" t="str">
        <f ca="1">IFERROR(__xludf.DUMMYFUNCTION("""COMPUTED_VALUE"""),"AREQUIPA")</f>
        <v>AREQUIPA</v>
      </c>
      <c r="E401" s="25" t="str">
        <f ca="1">IFERROR(__xludf.DUMMYFUNCTION("""COMPUTED_VALUE"""),"AREQUIPA")</f>
        <v>AREQUIPA</v>
      </c>
      <c r="F401" s="25" t="str">
        <f ca="1">IFERROR(__xludf.DUMMYFUNCTION("""COMPUTED_VALUE"""),"CASTILLA")</f>
        <v>CASTILLA</v>
      </c>
      <c r="G401" s="25" t="str">
        <f ca="1">IFERROR(__xludf.DUMMYFUNCTION("""COMPUTED_VALUE"""),"UÑON")</f>
        <v>UÑON</v>
      </c>
      <c r="H401" s="25" t="str">
        <f ca="1">IFERROR(__xludf.DUMMYFUNCTION("""COMPUTED_VALUE"""),"RURAL")</f>
        <v>RURAL</v>
      </c>
      <c r="I401" s="25" t="str">
        <f ca="1">IFERROR(__xludf.DUMMYFUNCTION("""COMPUTED_VALUE"""),"Prioridad 3")</f>
        <v>Prioridad 3</v>
      </c>
      <c r="J401" s="43" t="s">
        <v>263</v>
      </c>
    </row>
    <row r="402" spans="2:10">
      <c r="B402" s="25" t="str">
        <f ca="1">IFERROR(__xludf.DUMMYFUNCTION("""COMPUTED_VALUE"""),"MUNICIPALIDAD DISTRITAL")</f>
        <v>MUNICIPALIDAD DISTRITAL</v>
      </c>
      <c r="C402" s="25" t="str">
        <f ca="1">IFERROR(__xludf.DUMMYFUNCTION("""COMPUTED_VALUE"""),"MUNICIPALIDAD DISTRITAL DE URACA")</f>
        <v>MUNICIPALIDAD DISTRITAL DE URACA</v>
      </c>
      <c r="D402" s="25" t="str">
        <f ca="1">IFERROR(__xludf.DUMMYFUNCTION("""COMPUTED_VALUE"""),"AREQUIPA")</f>
        <v>AREQUIPA</v>
      </c>
      <c r="E402" s="25" t="str">
        <f ca="1">IFERROR(__xludf.DUMMYFUNCTION("""COMPUTED_VALUE"""),"AREQUIPA")</f>
        <v>AREQUIPA</v>
      </c>
      <c r="F402" s="25" t="str">
        <f ca="1">IFERROR(__xludf.DUMMYFUNCTION("""COMPUTED_VALUE"""),"CASTILLA")</f>
        <v>CASTILLA</v>
      </c>
      <c r="G402" s="25" t="str">
        <f ca="1">IFERROR(__xludf.DUMMYFUNCTION("""COMPUTED_VALUE"""),"URACA")</f>
        <v>URACA</v>
      </c>
      <c r="H402" s="25" t="str">
        <f ca="1">IFERROR(__xludf.DUMMYFUNCTION("""COMPUTED_VALUE"""),"URBANO")</f>
        <v>URBANO</v>
      </c>
      <c r="I402" s="25" t="str">
        <f ca="1">IFERROR(__xludf.DUMMYFUNCTION("""COMPUTED_VALUE"""),"Prioridad 2")</f>
        <v>Prioridad 2</v>
      </c>
      <c r="J402" s="43" t="s">
        <v>263</v>
      </c>
    </row>
    <row r="403" spans="2:10">
      <c r="B403" s="25" t="str">
        <f ca="1">IFERROR(__xludf.DUMMYFUNCTION("""COMPUTED_VALUE"""),"MUNICIPALIDAD DISTRITAL")</f>
        <v>MUNICIPALIDAD DISTRITAL</v>
      </c>
      <c r="C403" s="25" t="str">
        <f ca="1">IFERROR(__xludf.DUMMYFUNCTION("""COMPUTED_VALUE"""),"MUNICIPALIDAD DISTRITAL DE VIRACO")</f>
        <v>MUNICIPALIDAD DISTRITAL DE VIRACO</v>
      </c>
      <c r="D403" s="25" t="str">
        <f ca="1">IFERROR(__xludf.DUMMYFUNCTION("""COMPUTED_VALUE"""),"AREQUIPA")</f>
        <v>AREQUIPA</v>
      </c>
      <c r="E403" s="25" t="str">
        <f ca="1">IFERROR(__xludf.DUMMYFUNCTION("""COMPUTED_VALUE"""),"AREQUIPA")</f>
        <v>AREQUIPA</v>
      </c>
      <c r="F403" s="25" t="str">
        <f ca="1">IFERROR(__xludf.DUMMYFUNCTION("""COMPUTED_VALUE"""),"CASTILLA")</f>
        <v>CASTILLA</v>
      </c>
      <c r="G403" s="25" t="str">
        <f ca="1">IFERROR(__xludf.DUMMYFUNCTION("""COMPUTED_VALUE"""),"VIRACO")</f>
        <v>VIRACO</v>
      </c>
      <c r="H403" s="25" t="str">
        <f ca="1">IFERROR(__xludf.DUMMYFUNCTION("""COMPUTED_VALUE"""),"RURAL")</f>
        <v>RURAL</v>
      </c>
      <c r="I403" s="25" t="str">
        <f ca="1">IFERROR(__xludf.DUMMYFUNCTION("""COMPUTED_VALUE"""),"Prioridad 2")</f>
        <v>Prioridad 2</v>
      </c>
      <c r="J403" s="43" t="s">
        <v>263</v>
      </c>
    </row>
    <row r="404" spans="2:10">
      <c r="B404" s="25" t="str">
        <f ca="1">IFERROR(__xludf.DUMMYFUNCTION("""COMPUTED_VALUE"""),"MUNICIPALIDAD DISTRITAL")</f>
        <v>MUNICIPALIDAD DISTRITAL</v>
      </c>
      <c r="C404" s="25" t="str">
        <f ca="1">IFERROR(__xludf.DUMMYFUNCTION("""COMPUTED_VALUE"""),"MUNICIPALIDAD DISTRITAL DE ACHOMA")</f>
        <v>MUNICIPALIDAD DISTRITAL DE ACHOMA</v>
      </c>
      <c r="D404" s="25" t="str">
        <f ca="1">IFERROR(__xludf.DUMMYFUNCTION("""COMPUTED_VALUE"""),"AREQUIPA")</f>
        <v>AREQUIPA</v>
      </c>
      <c r="E404" s="25" t="str">
        <f ca="1">IFERROR(__xludf.DUMMYFUNCTION("""COMPUTED_VALUE"""),"AREQUIPA")</f>
        <v>AREQUIPA</v>
      </c>
      <c r="F404" s="25" t="str">
        <f ca="1">IFERROR(__xludf.DUMMYFUNCTION("""COMPUTED_VALUE"""),"CAYLLOMA")</f>
        <v>CAYLLOMA</v>
      </c>
      <c r="G404" s="25" t="str">
        <f ca="1">IFERROR(__xludf.DUMMYFUNCTION("""COMPUTED_VALUE"""),"ACHOMA")</f>
        <v>ACHOMA</v>
      </c>
      <c r="H404" s="25" t="str">
        <f ca="1">IFERROR(__xludf.DUMMYFUNCTION("""COMPUTED_VALUE"""),"RURAL")</f>
        <v>RURAL</v>
      </c>
      <c r="I404" s="25" t="str">
        <f ca="1">IFERROR(__xludf.DUMMYFUNCTION("""COMPUTED_VALUE"""),"Prioridad 2")</f>
        <v>Prioridad 2</v>
      </c>
      <c r="J404" s="43" t="s">
        <v>263</v>
      </c>
    </row>
    <row r="405" spans="2:10">
      <c r="B405" s="25" t="str">
        <f ca="1">IFERROR(__xludf.DUMMYFUNCTION("""COMPUTED_VALUE"""),"MUNICIPALIDAD DISTRITAL")</f>
        <v>MUNICIPALIDAD DISTRITAL</v>
      </c>
      <c r="C405" s="25" t="str">
        <f ca="1">IFERROR(__xludf.DUMMYFUNCTION("""COMPUTED_VALUE"""),"MUNICIPALIDAD DISTRITAL DE CABANACONDE")</f>
        <v>MUNICIPALIDAD DISTRITAL DE CABANACONDE</v>
      </c>
      <c r="D405" s="25" t="str">
        <f ca="1">IFERROR(__xludf.DUMMYFUNCTION("""COMPUTED_VALUE"""),"AREQUIPA")</f>
        <v>AREQUIPA</v>
      </c>
      <c r="E405" s="25" t="str">
        <f ca="1">IFERROR(__xludf.DUMMYFUNCTION("""COMPUTED_VALUE"""),"AREQUIPA")</f>
        <v>AREQUIPA</v>
      </c>
      <c r="F405" s="25" t="str">
        <f ca="1">IFERROR(__xludf.DUMMYFUNCTION("""COMPUTED_VALUE"""),"CAYLLOMA")</f>
        <v>CAYLLOMA</v>
      </c>
      <c r="G405" s="25" t="str">
        <f ca="1">IFERROR(__xludf.DUMMYFUNCTION("""COMPUTED_VALUE"""),"CABANACONDE")</f>
        <v>CABANACONDE</v>
      </c>
      <c r="H405" s="25" t="str">
        <f ca="1">IFERROR(__xludf.DUMMYFUNCTION("""COMPUTED_VALUE"""),"RURAL")</f>
        <v>RURAL</v>
      </c>
      <c r="I405" s="25" t="str">
        <f ca="1">IFERROR(__xludf.DUMMYFUNCTION("""COMPUTED_VALUE"""),"Prioridad 2")</f>
        <v>Prioridad 2</v>
      </c>
      <c r="J405" s="43" t="s">
        <v>263</v>
      </c>
    </row>
    <row r="406" spans="2:10">
      <c r="B406" s="25" t="str">
        <f ca="1">IFERROR(__xludf.DUMMYFUNCTION("""COMPUTED_VALUE"""),"MUNICIPALIDAD DISTRITAL")</f>
        <v>MUNICIPALIDAD DISTRITAL</v>
      </c>
      <c r="C406" s="25" t="str">
        <f ca="1">IFERROR(__xludf.DUMMYFUNCTION("""COMPUTED_VALUE"""),"MUNICIPALIDAD DISTRITAL DE CALLALLI")</f>
        <v>MUNICIPALIDAD DISTRITAL DE CALLALLI</v>
      </c>
      <c r="D406" s="25" t="str">
        <f ca="1">IFERROR(__xludf.DUMMYFUNCTION("""COMPUTED_VALUE"""),"AREQUIPA")</f>
        <v>AREQUIPA</v>
      </c>
      <c r="E406" s="25" t="str">
        <f ca="1">IFERROR(__xludf.DUMMYFUNCTION("""COMPUTED_VALUE"""),"AREQUIPA")</f>
        <v>AREQUIPA</v>
      </c>
      <c r="F406" s="25" t="str">
        <f ca="1">IFERROR(__xludf.DUMMYFUNCTION("""COMPUTED_VALUE"""),"CAYLLOMA")</f>
        <v>CAYLLOMA</v>
      </c>
      <c r="G406" s="25" t="str">
        <f ca="1">IFERROR(__xludf.DUMMYFUNCTION("""COMPUTED_VALUE"""),"CALLALLI")</f>
        <v>CALLALLI</v>
      </c>
      <c r="H406" s="25" t="str">
        <f ca="1">IFERROR(__xludf.DUMMYFUNCTION("""COMPUTED_VALUE"""),"RURAL")</f>
        <v>RURAL</v>
      </c>
      <c r="I406" s="25" t="str">
        <f ca="1">IFERROR(__xludf.DUMMYFUNCTION("""COMPUTED_VALUE"""),"Prioridad 3")</f>
        <v>Prioridad 3</v>
      </c>
      <c r="J406" s="43" t="s">
        <v>263</v>
      </c>
    </row>
    <row r="407" spans="2:10">
      <c r="B407" s="25" t="str">
        <f ca="1">IFERROR(__xludf.DUMMYFUNCTION("""COMPUTED_VALUE"""),"MUNICIPALIDAD DISTRITAL")</f>
        <v>MUNICIPALIDAD DISTRITAL</v>
      </c>
      <c r="C407" s="25" t="str">
        <f ca="1">IFERROR(__xludf.DUMMYFUNCTION("""COMPUTED_VALUE"""),"MUNICIPALIDAD DISTRITAL DE CAYLLOMA")</f>
        <v>MUNICIPALIDAD DISTRITAL DE CAYLLOMA</v>
      </c>
      <c r="D407" s="25" t="str">
        <f ca="1">IFERROR(__xludf.DUMMYFUNCTION("""COMPUTED_VALUE"""),"AREQUIPA")</f>
        <v>AREQUIPA</v>
      </c>
      <c r="E407" s="25" t="str">
        <f ca="1">IFERROR(__xludf.DUMMYFUNCTION("""COMPUTED_VALUE"""),"AREQUIPA")</f>
        <v>AREQUIPA</v>
      </c>
      <c r="F407" s="25" t="str">
        <f ca="1">IFERROR(__xludf.DUMMYFUNCTION("""COMPUTED_VALUE"""),"CAYLLOMA")</f>
        <v>CAYLLOMA</v>
      </c>
      <c r="G407" s="25" t="str">
        <f ca="1">IFERROR(__xludf.DUMMYFUNCTION("""COMPUTED_VALUE"""),"CAYLLOMA")</f>
        <v>CAYLLOMA</v>
      </c>
      <c r="H407" s="25" t="str">
        <f ca="1">IFERROR(__xludf.DUMMYFUNCTION("""COMPUTED_VALUE"""),"RURAL")</f>
        <v>RURAL</v>
      </c>
      <c r="I407" s="25" t="str">
        <f ca="1">IFERROR(__xludf.DUMMYFUNCTION("""COMPUTED_VALUE"""),"Prioridad 4")</f>
        <v>Prioridad 4</v>
      </c>
      <c r="J407" s="43" t="s">
        <v>263</v>
      </c>
    </row>
    <row r="408" spans="2:10">
      <c r="B408" s="25" t="str">
        <f ca="1">IFERROR(__xludf.DUMMYFUNCTION("""COMPUTED_VALUE"""),"MUNICIPALIDAD PROVINCIAL")</f>
        <v>MUNICIPALIDAD PROVINCIAL</v>
      </c>
      <c r="C408" s="25" t="str">
        <f ca="1">IFERROR(__xludf.DUMMYFUNCTION("""COMPUTED_VALUE"""),"MUNICIPALIDAD PROVINCIAL DE CAYLLOMA")</f>
        <v>MUNICIPALIDAD PROVINCIAL DE CAYLLOMA</v>
      </c>
      <c r="D408" s="25" t="str">
        <f ca="1">IFERROR(__xludf.DUMMYFUNCTION("""COMPUTED_VALUE"""),"AREQUIPA")</f>
        <v>AREQUIPA</v>
      </c>
      <c r="E408" s="25" t="str">
        <f ca="1">IFERROR(__xludf.DUMMYFUNCTION("""COMPUTED_VALUE"""),"AREQUIPA")</f>
        <v>AREQUIPA</v>
      </c>
      <c r="F408" s="25" t="str">
        <f ca="1">IFERROR(__xludf.DUMMYFUNCTION("""COMPUTED_VALUE"""),"CAYLLOMA")</f>
        <v>CAYLLOMA</v>
      </c>
      <c r="G408" s="25" t="str">
        <f ca="1">IFERROR(__xludf.DUMMYFUNCTION("""COMPUTED_VALUE"""),"CHIVAY")</f>
        <v>CHIVAY</v>
      </c>
      <c r="H408" s="25" t="str">
        <f ca="1">IFERROR(__xludf.DUMMYFUNCTION("""COMPUTED_VALUE"""),"URBANO")</f>
        <v>URBANO</v>
      </c>
      <c r="I408" s="25" t="str">
        <f ca="1">IFERROR(__xludf.DUMMYFUNCTION("""COMPUTED_VALUE"""),"Prioridad 1")</f>
        <v>Prioridad 1</v>
      </c>
      <c r="J408" s="43" t="s">
        <v>263</v>
      </c>
    </row>
    <row r="409" spans="2:10">
      <c r="B409" s="25" t="str">
        <f ca="1">IFERROR(__xludf.DUMMYFUNCTION("""COMPUTED_VALUE"""),"MUNICIPALIDAD DISTRITAL")</f>
        <v>MUNICIPALIDAD DISTRITAL</v>
      </c>
      <c r="C409" s="25" t="str">
        <f ca="1">IFERROR(__xludf.DUMMYFUNCTION("""COMPUTED_VALUE"""),"MUNICIPALIDAD DISTRITAL DE COPORAQUE EN CAYLLOMA")</f>
        <v>MUNICIPALIDAD DISTRITAL DE COPORAQUE EN CAYLLOMA</v>
      </c>
      <c r="D409" s="25" t="str">
        <f ca="1">IFERROR(__xludf.DUMMYFUNCTION("""COMPUTED_VALUE"""),"AREQUIPA")</f>
        <v>AREQUIPA</v>
      </c>
      <c r="E409" s="25" t="str">
        <f ca="1">IFERROR(__xludf.DUMMYFUNCTION("""COMPUTED_VALUE"""),"AREQUIPA")</f>
        <v>AREQUIPA</v>
      </c>
      <c r="F409" s="25" t="str">
        <f ca="1">IFERROR(__xludf.DUMMYFUNCTION("""COMPUTED_VALUE"""),"CAYLLOMA")</f>
        <v>CAYLLOMA</v>
      </c>
      <c r="G409" s="25" t="str">
        <f ca="1">IFERROR(__xludf.DUMMYFUNCTION("""COMPUTED_VALUE"""),"COPORAQUE")</f>
        <v>COPORAQUE</v>
      </c>
      <c r="H409" s="25" t="str">
        <f ca="1">IFERROR(__xludf.DUMMYFUNCTION("""COMPUTED_VALUE"""),"RURAL")</f>
        <v>RURAL</v>
      </c>
      <c r="I409" s="25" t="str">
        <f ca="1">IFERROR(__xludf.DUMMYFUNCTION("""COMPUTED_VALUE"""),"Prioridad 3")</f>
        <v>Prioridad 3</v>
      </c>
      <c r="J409" s="43" t="s">
        <v>263</v>
      </c>
    </row>
    <row r="410" spans="2:10">
      <c r="B410" s="25" t="str">
        <f ca="1">IFERROR(__xludf.DUMMYFUNCTION("""COMPUTED_VALUE"""),"MUNICIPALIDAD DISTRITAL")</f>
        <v>MUNICIPALIDAD DISTRITAL</v>
      </c>
      <c r="C410" s="25" t="str">
        <f ca="1">IFERROR(__xludf.DUMMYFUNCTION("""COMPUTED_VALUE"""),"MUNICIPALIDAD DISTRITAL DE HUAMBO EN CAYLLOMA")</f>
        <v>MUNICIPALIDAD DISTRITAL DE HUAMBO EN CAYLLOMA</v>
      </c>
      <c r="D410" s="25" t="str">
        <f ca="1">IFERROR(__xludf.DUMMYFUNCTION("""COMPUTED_VALUE"""),"AREQUIPA")</f>
        <v>AREQUIPA</v>
      </c>
      <c r="E410" s="25" t="str">
        <f ca="1">IFERROR(__xludf.DUMMYFUNCTION("""COMPUTED_VALUE"""),"AREQUIPA")</f>
        <v>AREQUIPA</v>
      </c>
      <c r="F410" s="25" t="str">
        <f ca="1">IFERROR(__xludf.DUMMYFUNCTION("""COMPUTED_VALUE"""),"CAYLLOMA")</f>
        <v>CAYLLOMA</v>
      </c>
      <c r="G410" s="25" t="str">
        <f ca="1">IFERROR(__xludf.DUMMYFUNCTION("""COMPUTED_VALUE"""),"HUAMBO")</f>
        <v>HUAMBO</v>
      </c>
      <c r="H410" s="25" t="str">
        <f ca="1">IFERROR(__xludf.DUMMYFUNCTION("""COMPUTED_VALUE"""),"RURAL")</f>
        <v>RURAL</v>
      </c>
      <c r="I410" s="25" t="str">
        <f ca="1">IFERROR(__xludf.DUMMYFUNCTION("""COMPUTED_VALUE"""),"Prioridad 3")</f>
        <v>Prioridad 3</v>
      </c>
      <c r="J410" s="43" t="s">
        <v>263</v>
      </c>
    </row>
    <row r="411" spans="2:10">
      <c r="B411" s="25" t="str">
        <f ca="1">IFERROR(__xludf.DUMMYFUNCTION("""COMPUTED_VALUE"""),"MUNICIPALIDAD DISTRITAL")</f>
        <v>MUNICIPALIDAD DISTRITAL</v>
      </c>
      <c r="C411" s="25" t="str">
        <f ca="1">IFERROR(__xludf.DUMMYFUNCTION("""COMPUTED_VALUE"""),"MUNICIPALIDAD DISTRITAL DE HUANCA")</f>
        <v>MUNICIPALIDAD DISTRITAL DE HUANCA</v>
      </c>
      <c r="D411" s="25" t="str">
        <f ca="1">IFERROR(__xludf.DUMMYFUNCTION("""COMPUTED_VALUE"""),"AREQUIPA")</f>
        <v>AREQUIPA</v>
      </c>
      <c r="E411" s="25" t="str">
        <f ca="1">IFERROR(__xludf.DUMMYFUNCTION("""COMPUTED_VALUE"""),"AREQUIPA")</f>
        <v>AREQUIPA</v>
      </c>
      <c r="F411" s="25" t="str">
        <f ca="1">IFERROR(__xludf.DUMMYFUNCTION("""COMPUTED_VALUE"""),"CAYLLOMA")</f>
        <v>CAYLLOMA</v>
      </c>
      <c r="G411" s="25" t="str">
        <f ca="1">IFERROR(__xludf.DUMMYFUNCTION("""COMPUTED_VALUE"""),"HUANCA")</f>
        <v>HUANCA</v>
      </c>
      <c r="H411" s="25" t="str">
        <f ca="1">IFERROR(__xludf.DUMMYFUNCTION("""COMPUTED_VALUE"""),"RURAL")</f>
        <v>RURAL</v>
      </c>
      <c r="I411" s="25" t="str">
        <f ca="1">IFERROR(__xludf.DUMMYFUNCTION("""COMPUTED_VALUE"""),"Prioridad 5")</f>
        <v>Prioridad 5</v>
      </c>
      <c r="J411" s="43" t="s">
        <v>263</v>
      </c>
    </row>
    <row r="412" spans="2:10">
      <c r="B412" s="25" t="str">
        <f ca="1">IFERROR(__xludf.DUMMYFUNCTION("""COMPUTED_VALUE"""),"MUNICIPALIDAD DISTRITAL")</f>
        <v>MUNICIPALIDAD DISTRITAL</v>
      </c>
      <c r="C412" s="25" t="str">
        <f ca="1">IFERROR(__xludf.DUMMYFUNCTION("""COMPUTED_VALUE"""),"MUNICIPALIDAD DISTRITAL DE ICHUPAMPA")</f>
        <v>MUNICIPALIDAD DISTRITAL DE ICHUPAMPA</v>
      </c>
      <c r="D412" s="25" t="str">
        <f ca="1">IFERROR(__xludf.DUMMYFUNCTION("""COMPUTED_VALUE"""),"AREQUIPA")</f>
        <v>AREQUIPA</v>
      </c>
      <c r="E412" s="25" t="str">
        <f ca="1">IFERROR(__xludf.DUMMYFUNCTION("""COMPUTED_VALUE"""),"AREQUIPA")</f>
        <v>AREQUIPA</v>
      </c>
      <c r="F412" s="25" t="str">
        <f ca="1">IFERROR(__xludf.DUMMYFUNCTION("""COMPUTED_VALUE"""),"CAYLLOMA")</f>
        <v>CAYLLOMA</v>
      </c>
      <c r="G412" s="25" t="str">
        <f ca="1">IFERROR(__xludf.DUMMYFUNCTION("""COMPUTED_VALUE"""),"ICHUPAMPA")</f>
        <v>ICHUPAMPA</v>
      </c>
      <c r="H412" s="25" t="str">
        <f ca="1">IFERROR(__xludf.DUMMYFUNCTION("""COMPUTED_VALUE"""),"RURAL")</f>
        <v>RURAL</v>
      </c>
      <c r="I412" s="25" t="str">
        <f ca="1">IFERROR(__xludf.DUMMYFUNCTION("""COMPUTED_VALUE"""),"Prioridad 2")</f>
        <v>Prioridad 2</v>
      </c>
      <c r="J412" s="43" t="s">
        <v>263</v>
      </c>
    </row>
    <row r="413" spans="2:10">
      <c r="B413" s="25" t="str">
        <f ca="1">IFERROR(__xludf.DUMMYFUNCTION("""COMPUTED_VALUE"""),"MUNICIPALIDAD DISTRITAL")</f>
        <v>MUNICIPALIDAD DISTRITAL</v>
      </c>
      <c r="C413" s="25" t="str">
        <f ca="1">IFERROR(__xludf.DUMMYFUNCTION("""COMPUTED_VALUE"""),"MUNICIPALIDAD DISTRITAL DE LARI")</f>
        <v>MUNICIPALIDAD DISTRITAL DE LARI</v>
      </c>
      <c r="D413" s="25" t="str">
        <f ca="1">IFERROR(__xludf.DUMMYFUNCTION("""COMPUTED_VALUE"""),"AREQUIPA")</f>
        <v>AREQUIPA</v>
      </c>
      <c r="E413" s="25" t="str">
        <f ca="1">IFERROR(__xludf.DUMMYFUNCTION("""COMPUTED_VALUE"""),"AREQUIPA")</f>
        <v>AREQUIPA</v>
      </c>
      <c r="F413" s="25" t="str">
        <f ca="1">IFERROR(__xludf.DUMMYFUNCTION("""COMPUTED_VALUE"""),"CAYLLOMA")</f>
        <v>CAYLLOMA</v>
      </c>
      <c r="G413" s="25" t="str">
        <f ca="1">IFERROR(__xludf.DUMMYFUNCTION("""COMPUTED_VALUE"""),"LARI")</f>
        <v>LARI</v>
      </c>
      <c r="H413" s="25" t="str">
        <f ca="1">IFERROR(__xludf.DUMMYFUNCTION("""COMPUTED_VALUE"""),"RURAL")</f>
        <v>RURAL</v>
      </c>
      <c r="I413" s="25" t="str">
        <f ca="1">IFERROR(__xludf.DUMMYFUNCTION("""COMPUTED_VALUE"""),"Prioridad 3")</f>
        <v>Prioridad 3</v>
      </c>
      <c r="J413" s="43" t="s">
        <v>263</v>
      </c>
    </row>
    <row r="414" spans="2:10">
      <c r="B414" s="25" t="str">
        <f ca="1">IFERROR(__xludf.DUMMYFUNCTION("""COMPUTED_VALUE"""),"MUNICIPALIDAD DISTRITAL")</f>
        <v>MUNICIPALIDAD DISTRITAL</v>
      </c>
      <c r="C414" s="25" t="str">
        <f ca="1">IFERROR(__xludf.DUMMYFUNCTION("""COMPUTED_VALUE"""),"MUNICIPALIDAD DISTRITAL DE LLUTA")</f>
        <v>MUNICIPALIDAD DISTRITAL DE LLUTA</v>
      </c>
      <c r="D414" s="25" t="str">
        <f ca="1">IFERROR(__xludf.DUMMYFUNCTION("""COMPUTED_VALUE"""),"AREQUIPA")</f>
        <v>AREQUIPA</v>
      </c>
      <c r="E414" s="25" t="str">
        <f ca="1">IFERROR(__xludf.DUMMYFUNCTION("""COMPUTED_VALUE"""),"AREQUIPA")</f>
        <v>AREQUIPA</v>
      </c>
      <c r="F414" s="25" t="str">
        <f ca="1">IFERROR(__xludf.DUMMYFUNCTION("""COMPUTED_VALUE"""),"CAYLLOMA")</f>
        <v>CAYLLOMA</v>
      </c>
      <c r="G414" s="25" t="str">
        <f ca="1">IFERROR(__xludf.DUMMYFUNCTION("""COMPUTED_VALUE"""),"LLUTA")</f>
        <v>LLUTA</v>
      </c>
      <c r="H414" s="25" t="str">
        <f ca="1">IFERROR(__xludf.DUMMYFUNCTION("""COMPUTED_VALUE"""),"RURAL")</f>
        <v>RURAL</v>
      </c>
      <c r="I414" s="25" t="str">
        <f ca="1">IFERROR(__xludf.DUMMYFUNCTION("""COMPUTED_VALUE"""),"Prioridad 2")</f>
        <v>Prioridad 2</v>
      </c>
      <c r="J414" s="43" t="s">
        <v>263</v>
      </c>
    </row>
    <row r="415" spans="2:10">
      <c r="B415" s="25" t="str">
        <f ca="1">IFERROR(__xludf.DUMMYFUNCTION("""COMPUTED_VALUE"""),"MUNICIPALIDAD DISTRITAL")</f>
        <v>MUNICIPALIDAD DISTRITAL</v>
      </c>
      <c r="C415" s="25" t="str">
        <f ca="1">IFERROR(__xludf.DUMMYFUNCTION("""COMPUTED_VALUE"""),"MUNICIPALIDAD DISTRITAL DE MACA")</f>
        <v>MUNICIPALIDAD DISTRITAL DE MACA</v>
      </c>
      <c r="D415" s="25" t="str">
        <f ca="1">IFERROR(__xludf.DUMMYFUNCTION("""COMPUTED_VALUE"""),"AREQUIPA")</f>
        <v>AREQUIPA</v>
      </c>
      <c r="E415" s="25" t="str">
        <f ca="1">IFERROR(__xludf.DUMMYFUNCTION("""COMPUTED_VALUE"""),"AREQUIPA")</f>
        <v>AREQUIPA</v>
      </c>
      <c r="F415" s="25" t="str">
        <f ca="1">IFERROR(__xludf.DUMMYFUNCTION("""COMPUTED_VALUE"""),"CAYLLOMA")</f>
        <v>CAYLLOMA</v>
      </c>
      <c r="G415" s="25" t="str">
        <f ca="1">IFERROR(__xludf.DUMMYFUNCTION("""COMPUTED_VALUE"""),"MACA")</f>
        <v>MACA</v>
      </c>
      <c r="H415" s="25" t="str">
        <f ca="1">IFERROR(__xludf.DUMMYFUNCTION("""COMPUTED_VALUE"""),"RURAL")</f>
        <v>RURAL</v>
      </c>
      <c r="I415" s="25" t="str">
        <f ca="1">IFERROR(__xludf.DUMMYFUNCTION("""COMPUTED_VALUE"""),"Prioridad 2")</f>
        <v>Prioridad 2</v>
      </c>
      <c r="J415" s="43" t="s">
        <v>263</v>
      </c>
    </row>
    <row r="416" spans="2:10">
      <c r="B416" s="25" t="str">
        <f ca="1">IFERROR(__xludf.DUMMYFUNCTION("""COMPUTED_VALUE"""),"MUNICIPALIDAD DISTRITAL")</f>
        <v>MUNICIPALIDAD DISTRITAL</v>
      </c>
      <c r="C416" s="25" t="str">
        <f ca="1">IFERROR(__xludf.DUMMYFUNCTION("""COMPUTED_VALUE"""),"MUNICIPALIDAD DISTRITAL DE MADRIGAL")</f>
        <v>MUNICIPALIDAD DISTRITAL DE MADRIGAL</v>
      </c>
      <c r="D416" s="25" t="str">
        <f ca="1">IFERROR(__xludf.DUMMYFUNCTION("""COMPUTED_VALUE"""),"AREQUIPA")</f>
        <v>AREQUIPA</v>
      </c>
      <c r="E416" s="25" t="str">
        <f ca="1">IFERROR(__xludf.DUMMYFUNCTION("""COMPUTED_VALUE"""),"AREQUIPA")</f>
        <v>AREQUIPA</v>
      </c>
      <c r="F416" s="25" t="str">
        <f ca="1">IFERROR(__xludf.DUMMYFUNCTION("""COMPUTED_VALUE"""),"CAYLLOMA")</f>
        <v>CAYLLOMA</v>
      </c>
      <c r="G416" s="25" t="str">
        <f ca="1">IFERROR(__xludf.DUMMYFUNCTION("""COMPUTED_VALUE"""),"MADRIGAL")</f>
        <v>MADRIGAL</v>
      </c>
      <c r="H416" s="25" t="str">
        <f ca="1">IFERROR(__xludf.DUMMYFUNCTION("""COMPUTED_VALUE"""),"RURAL")</f>
        <v>RURAL</v>
      </c>
      <c r="I416" s="25" t="str">
        <f ca="1">IFERROR(__xludf.DUMMYFUNCTION("""COMPUTED_VALUE"""),"Prioridad 2")</f>
        <v>Prioridad 2</v>
      </c>
      <c r="J416" s="43" t="s">
        <v>263</v>
      </c>
    </row>
    <row r="417" spans="2:10">
      <c r="B417" s="25" t="str">
        <f ca="1">IFERROR(__xludf.DUMMYFUNCTION("""COMPUTED_VALUE"""),"MUNICIPALIDAD DISTRITAL")</f>
        <v>MUNICIPALIDAD DISTRITAL</v>
      </c>
      <c r="C417" s="25" t="str">
        <f ca="1">IFERROR(__xludf.DUMMYFUNCTION("""COMPUTED_VALUE"""),"MUNICIPALIDAD DISTRITAL DE MAJES")</f>
        <v>MUNICIPALIDAD DISTRITAL DE MAJES</v>
      </c>
      <c r="D417" s="25" t="str">
        <f ca="1">IFERROR(__xludf.DUMMYFUNCTION("""COMPUTED_VALUE"""),"AREQUIPA")</f>
        <v>AREQUIPA</v>
      </c>
      <c r="E417" s="25" t="str">
        <f ca="1">IFERROR(__xludf.DUMMYFUNCTION("""COMPUTED_VALUE"""),"AREQUIPA")</f>
        <v>AREQUIPA</v>
      </c>
      <c r="F417" s="25" t="str">
        <f ca="1">IFERROR(__xludf.DUMMYFUNCTION("""COMPUTED_VALUE"""),"CAYLLOMA")</f>
        <v>CAYLLOMA</v>
      </c>
      <c r="G417" s="25" t="str">
        <f ca="1">IFERROR(__xludf.DUMMYFUNCTION("""COMPUTED_VALUE"""),"MAJES")</f>
        <v>MAJES</v>
      </c>
      <c r="H417" s="25" t="str">
        <f ca="1">IFERROR(__xludf.DUMMYFUNCTION("""COMPUTED_VALUE"""),"URBANO")</f>
        <v>URBANO</v>
      </c>
      <c r="I417" s="25" t="str">
        <f ca="1">IFERROR(__xludf.DUMMYFUNCTION("""COMPUTED_VALUE"""),"Prioridad 1")</f>
        <v>Prioridad 1</v>
      </c>
      <c r="J417" s="43" t="s">
        <v>263</v>
      </c>
    </row>
    <row r="418" spans="2:10">
      <c r="B418" s="25" t="str">
        <f ca="1">IFERROR(__xludf.DUMMYFUNCTION("""COMPUTED_VALUE"""),"MUNICIPALIDAD DISTRITAL")</f>
        <v>MUNICIPALIDAD DISTRITAL</v>
      </c>
      <c r="C418" s="25" t="str">
        <f ca="1">IFERROR(__xludf.DUMMYFUNCTION("""COMPUTED_VALUE"""),"MUNICIPALIDAD DISTRITAL DE SAN ANTONIO DE CHUCA")</f>
        <v>MUNICIPALIDAD DISTRITAL DE SAN ANTONIO DE CHUCA</v>
      </c>
      <c r="D418" s="25" t="str">
        <f ca="1">IFERROR(__xludf.DUMMYFUNCTION("""COMPUTED_VALUE"""),"AREQUIPA")</f>
        <v>AREQUIPA</v>
      </c>
      <c r="E418" s="25" t="str">
        <f ca="1">IFERROR(__xludf.DUMMYFUNCTION("""COMPUTED_VALUE"""),"AREQUIPA")</f>
        <v>AREQUIPA</v>
      </c>
      <c r="F418" s="25" t="str">
        <f ca="1">IFERROR(__xludf.DUMMYFUNCTION("""COMPUTED_VALUE"""),"CAYLLOMA")</f>
        <v>CAYLLOMA</v>
      </c>
      <c r="G418" s="25" t="str">
        <f ca="1">IFERROR(__xludf.DUMMYFUNCTION("""COMPUTED_VALUE"""),"SAN ANTONIO DE CHUCA")</f>
        <v>SAN ANTONIO DE CHUCA</v>
      </c>
      <c r="H418" s="25" t="str">
        <f ca="1">IFERROR(__xludf.DUMMYFUNCTION("""COMPUTED_VALUE"""),"RURAL")</f>
        <v>RURAL</v>
      </c>
      <c r="I418" s="25" t="str">
        <f ca="1">IFERROR(__xludf.DUMMYFUNCTION("""COMPUTED_VALUE"""),"Prioridad 3")</f>
        <v>Prioridad 3</v>
      </c>
      <c r="J418" s="43" t="s">
        <v>263</v>
      </c>
    </row>
    <row r="419" spans="2:10">
      <c r="B419" s="25" t="str">
        <f ca="1">IFERROR(__xludf.DUMMYFUNCTION("""COMPUTED_VALUE"""),"MUNICIPALIDAD DISTRITAL")</f>
        <v>MUNICIPALIDAD DISTRITAL</v>
      </c>
      <c r="C419" s="25" t="str">
        <f ca="1">IFERROR(__xludf.DUMMYFUNCTION("""COMPUTED_VALUE"""),"MUNICIPALIDAD DISTRITAL DE SIBAYO")</f>
        <v>MUNICIPALIDAD DISTRITAL DE SIBAYO</v>
      </c>
      <c r="D419" s="25" t="str">
        <f ca="1">IFERROR(__xludf.DUMMYFUNCTION("""COMPUTED_VALUE"""),"AREQUIPA")</f>
        <v>AREQUIPA</v>
      </c>
      <c r="E419" s="25" t="str">
        <f ca="1">IFERROR(__xludf.DUMMYFUNCTION("""COMPUTED_VALUE"""),"AREQUIPA")</f>
        <v>AREQUIPA</v>
      </c>
      <c r="F419" s="25" t="str">
        <f ca="1">IFERROR(__xludf.DUMMYFUNCTION("""COMPUTED_VALUE"""),"CAYLLOMA")</f>
        <v>CAYLLOMA</v>
      </c>
      <c r="G419" s="25" t="str">
        <f ca="1">IFERROR(__xludf.DUMMYFUNCTION("""COMPUTED_VALUE"""),"SIBAYO")</f>
        <v>SIBAYO</v>
      </c>
      <c r="H419" s="25" t="str">
        <f ca="1">IFERROR(__xludf.DUMMYFUNCTION("""COMPUTED_VALUE"""),"RURAL")</f>
        <v>RURAL</v>
      </c>
      <c r="I419" s="25" t="str">
        <f ca="1">IFERROR(__xludf.DUMMYFUNCTION("""COMPUTED_VALUE"""),"Prioridad 2")</f>
        <v>Prioridad 2</v>
      </c>
      <c r="J419" s="43" t="s">
        <v>263</v>
      </c>
    </row>
    <row r="420" spans="2:10">
      <c r="B420" s="25" t="str">
        <f ca="1">IFERROR(__xludf.DUMMYFUNCTION("""COMPUTED_VALUE"""),"MUNICIPALIDAD DISTRITAL")</f>
        <v>MUNICIPALIDAD DISTRITAL</v>
      </c>
      <c r="C420" s="25" t="str">
        <f ca="1">IFERROR(__xludf.DUMMYFUNCTION("""COMPUTED_VALUE"""),"MUNICIPALIDAD DISTRITAL DE TAPAY")</f>
        <v>MUNICIPALIDAD DISTRITAL DE TAPAY</v>
      </c>
      <c r="D420" s="25" t="str">
        <f ca="1">IFERROR(__xludf.DUMMYFUNCTION("""COMPUTED_VALUE"""),"AREQUIPA")</f>
        <v>AREQUIPA</v>
      </c>
      <c r="E420" s="25" t="str">
        <f ca="1">IFERROR(__xludf.DUMMYFUNCTION("""COMPUTED_VALUE"""),"AREQUIPA")</f>
        <v>AREQUIPA</v>
      </c>
      <c r="F420" s="25" t="str">
        <f ca="1">IFERROR(__xludf.DUMMYFUNCTION("""COMPUTED_VALUE"""),"CAYLLOMA")</f>
        <v>CAYLLOMA</v>
      </c>
      <c r="G420" s="25" t="str">
        <f ca="1">IFERROR(__xludf.DUMMYFUNCTION("""COMPUTED_VALUE"""),"TAPAY")</f>
        <v>TAPAY</v>
      </c>
      <c r="H420" s="25" t="str">
        <f ca="1">IFERROR(__xludf.DUMMYFUNCTION("""COMPUTED_VALUE"""),"RURAL")</f>
        <v>RURAL</v>
      </c>
      <c r="I420" s="25" t="str">
        <f ca="1">IFERROR(__xludf.DUMMYFUNCTION("""COMPUTED_VALUE"""),"Prioridad 2")</f>
        <v>Prioridad 2</v>
      </c>
      <c r="J420" s="43" t="s">
        <v>263</v>
      </c>
    </row>
    <row r="421" spans="2:10">
      <c r="B421" s="25" t="str">
        <f ca="1">IFERROR(__xludf.DUMMYFUNCTION("""COMPUTED_VALUE"""),"MUNICIPALIDAD DISTRITAL")</f>
        <v>MUNICIPALIDAD DISTRITAL</v>
      </c>
      <c r="C421" s="25" t="str">
        <f ca="1">IFERROR(__xludf.DUMMYFUNCTION("""COMPUTED_VALUE"""),"MUNICIPALIDAD DISTRITAL DE TISCO")</f>
        <v>MUNICIPALIDAD DISTRITAL DE TISCO</v>
      </c>
      <c r="D421" s="25" t="str">
        <f ca="1">IFERROR(__xludf.DUMMYFUNCTION("""COMPUTED_VALUE"""),"AREQUIPA")</f>
        <v>AREQUIPA</v>
      </c>
      <c r="E421" s="25" t="str">
        <f ca="1">IFERROR(__xludf.DUMMYFUNCTION("""COMPUTED_VALUE"""),"AREQUIPA")</f>
        <v>AREQUIPA</v>
      </c>
      <c r="F421" s="25" t="str">
        <f ca="1">IFERROR(__xludf.DUMMYFUNCTION("""COMPUTED_VALUE"""),"CAYLLOMA")</f>
        <v>CAYLLOMA</v>
      </c>
      <c r="G421" s="25" t="str">
        <f ca="1">IFERROR(__xludf.DUMMYFUNCTION("""COMPUTED_VALUE"""),"TISCO")</f>
        <v>TISCO</v>
      </c>
      <c r="H421" s="25" t="str">
        <f ca="1">IFERROR(__xludf.DUMMYFUNCTION("""COMPUTED_VALUE"""),"RURAL")</f>
        <v>RURAL</v>
      </c>
      <c r="I421" s="25" t="str">
        <f ca="1">IFERROR(__xludf.DUMMYFUNCTION("""COMPUTED_VALUE"""),"Prioridad 3")</f>
        <v>Prioridad 3</v>
      </c>
      <c r="J421" s="43" t="s">
        <v>263</v>
      </c>
    </row>
    <row r="422" spans="2:10">
      <c r="B422" s="25" t="str">
        <f ca="1">IFERROR(__xludf.DUMMYFUNCTION("""COMPUTED_VALUE"""),"MUNICIPALIDAD DISTRITAL")</f>
        <v>MUNICIPALIDAD DISTRITAL</v>
      </c>
      <c r="C422" s="25" t="str">
        <f ca="1">IFERROR(__xludf.DUMMYFUNCTION("""COMPUTED_VALUE"""),"MUNICIPALIDAD DISTRITAL DE TUTI")</f>
        <v>MUNICIPALIDAD DISTRITAL DE TUTI</v>
      </c>
      <c r="D422" s="25" t="str">
        <f ca="1">IFERROR(__xludf.DUMMYFUNCTION("""COMPUTED_VALUE"""),"AREQUIPA")</f>
        <v>AREQUIPA</v>
      </c>
      <c r="E422" s="25" t="str">
        <f ca="1">IFERROR(__xludf.DUMMYFUNCTION("""COMPUTED_VALUE"""),"AREQUIPA")</f>
        <v>AREQUIPA</v>
      </c>
      <c r="F422" s="25" t="str">
        <f ca="1">IFERROR(__xludf.DUMMYFUNCTION("""COMPUTED_VALUE"""),"CAYLLOMA")</f>
        <v>CAYLLOMA</v>
      </c>
      <c r="G422" s="25" t="str">
        <f ca="1">IFERROR(__xludf.DUMMYFUNCTION("""COMPUTED_VALUE"""),"TUTI")</f>
        <v>TUTI</v>
      </c>
      <c r="H422" s="25" t="str">
        <f ca="1">IFERROR(__xludf.DUMMYFUNCTION("""COMPUTED_VALUE"""),"RURAL")</f>
        <v>RURAL</v>
      </c>
      <c r="I422" s="25" t="str">
        <f ca="1">IFERROR(__xludf.DUMMYFUNCTION("""COMPUTED_VALUE"""),"Prioridad 2")</f>
        <v>Prioridad 2</v>
      </c>
      <c r="J422" s="43" t="s">
        <v>263</v>
      </c>
    </row>
    <row r="423" spans="2:10">
      <c r="B423" s="25" t="str">
        <f ca="1">IFERROR(__xludf.DUMMYFUNCTION("""COMPUTED_VALUE"""),"MUNICIPALIDAD DISTRITAL")</f>
        <v>MUNICIPALIDAD DISTRITAL</v>
      </c>
      <c r="C423" s="25" t="str">
        <f ca="1">IFERROR(__xludf.DUMMYFUNCTION("""COMPUTED_VALUE"""),"MUNICIPALIDAD DISTRITAL DE YANQUE")</f>
        <v>MUNICIPALIDAD DISTRITAL DE YANQUE</v>
      </c>
      <c r="D423" s="25" t="str">
        <f ca="1">IFERROR(__xludf.DUMMYFUNCTION("""COMPUTED_VALUE"""),"AREQUIPA")</f>
        <v>AREQUIPA</v>
      </c>
      <c r="E423" s="25" t="str">
        <f ca="1">IFERROR(__xludf.DUMMYFUNCTION("""COMPUTED_VALUE"""),"AREQUIPA")</f>
        <v>AREQUIPA</v>
      </c>
      <c r="F423" s="25" t="str">
        <f ca="1">IFERROR(__xludf.DUMMYFUNCTION("""COMPUTED_VALUE"""),"CAYLLOMA")</f>
        <v>CAYLLOMA</v>
      </c>
      <c r="G423" s="25" t="str">
        <f ca="1">IFERROR(__xludf.DUMMYFUNCTION("""COMPUTED_VALUE"""),"YANQUE")</f>
        <v>YANQUE</v>
      </c>
      <c r="H423" s="25" t="str">
        <f ca="1">IFERROR(__xludf.DUMMYFUNCTION("""COMPUTED_VALUE"""),"RURAL")</f>
        <v>RURAL</v>
      </c>
      <c r="I423" s="25" t="str">
        <f ca="1">IFERROR(__xludf.DUMMYFUNCTION("""COMPUTED_VALUE"""),"Prioridad 2")</f>
        <v>Prioridad 2</v>
      </c>
      <c r="J423" s="43" t="s">
        <v>263</v>
      </c>
    </row>
    <row r="424" spans="2:10">
      <c r="B424" s="25" t="str">
        <f ca="1">IFERROR(__xludf.DUMMYFUNCTION("""COMPUTED_VALUE"""),"MUNICIPALIDAD PROVINCIAL")</f>
        <v>MUNICIPALIDAD PROVINCIAL</v>
      </c>
      <c r="C424" s="25" t="str">
        <f ca="1">IFERROR(__xludf.DUMMYFUNCTION("""COMPUTED_VALUE"""),"MUNICIPALIDAD PROVINCIAL DE CONDESUYOS")</f>
        <v>MUNICIPALIDAD PROVINCIAL DE CONDESUYOS</v>
      </c>
      <c r="D424" s="25" t="str">
        <f ca="1">IFERROR(__xludf.DUMMYFUNCTION("""COMPUTED_VALUE"""),"AREQUIPA")</f>
        <v>AREQUIPA</v>
      </c>
      <c r="E424" s="25" t="str">
        <f ca="1">IFERROR(__xludf.DUMMYFUNCTION("""COMPUTED_VALUE"""),"AREQUIPA")</f>
        <v>AREQUIPA</v>
      </c>
      <c r="F424" s="25" t="str">
        <f ca="1">IFERROR(__xludf.DUMMYFUNCTION("""COMPUTED_VALUE"""),"CONDESUYOS")</f>
        <v>CONDESUYOS</v>
      </c>
      <c r="G424" s="25" t="str">
        <f ca="1">IFERROR(__xludf.DUMMYFUNCTION("""COMPUTED_VALUE"""),"CHUQUIBAMBA")</f>
        <v>CHUQUIBAMBA</v>
      </c>
      <c r="H424" s="25" t="str">
        <f ca="1">IFERROR(__xludf.DUMMYFUNCTION("""COMPUTED_VALUE"""),"URBANO")</f>
        <v>URBANO</v>
      </c>
      <c r="I424" s="25" t="str">
        <f ca="1">IFERROR(__xludf.DUMMYFUNCTION("""COMPUTED_VALUE"""),"Prioridad 1")</f>
        <v>Prioridad 1</v>
      </c>
      <c r="J424" s="43" t="s">
        <v>263</v>
      </c>
    </row>
    <row r="425" spans="2:10">
      <c r="B425" s="25" t="str">
        <f ca="1">IFERROR(__xludf.DUMMYFUNCTION("""COMPUTED_VALUE"""),"MUNICIPALIDAD DISTRITAL")</f>
        <v>MUNICIPALIDAD DISTRITAL</v>
      </c>
      <c r="C425" s="25" t="str">
        <f ca="1">IFERROR(__xludf.DUMMYFUNCTION("""COMPUTED_VALUE"""),"MUNICIPALIDAD DISTRITAL DE ANDARAY")</f>
        <v>MUNICIPALIDAD DISTRITAL DE ANDARAY</v>
      </c>
      <c r="D425" s="25" t="str">
        <f ca="1">IFERROR(__xludf.DUMMYFUNCTION("""COMPUTED_VALUE"""),"AREQUIPA")</f>
        <v>AREQUIPA</v>
      </c>
      <c r="E425" s="25" t="str">
        <f ca="1">IFERROR(__xludf.DUMMYFUNCTION("""COMPUTED_VALUE"""),"AREQUIPA")</f>
        <v>AREQUIPA</v>
      </c>
      <c r="F425" s="25" t="str">
        <f ca="1">IFERROR(__xludf.DUMMYFUNCTION("""COMPUTED_VALUE"""),"CONDESUYOS")</f>
        <v>CONDESUYOS</v>
      </c>
      <c r="G425" s="25" t="str">
        <f ca="1">IFERROR(__xludf.DUMMYFUNCTION("""COMPUTED_VALUE"""),"ANDARAY")</f>
        <v>ANDARAY</v>
      </c>
      <c r="H425" s="25" t="str">
        <f ca="1">IFERROR(__xludf.DUMMYFUNCTION("""COMPUTED_VALUE"""),"RURAL")</f>
        <v>RURAL</v>
      </c>
      <c r="I425" s="25" t="str">
        <f ca="1">IFERROR(__xludf.DUMMYFUNCTION("""COMPUTED_VALUE"""),"Prioridad 3")</f>
        <v>Prioridad 3</v>
      </c>
      <c r="J425" s="43" t="s">
        <v>263</v>
      </c>
    </row>
    <row r="426" spans="2:10">
      <c r="B426" s="25" t="str">
        <f ca="1">IFERROR(__xludf.DUMMYFUNCTION("""COMPUTED_VALUE"""),"MUNICIPALIDAD DISTRITAL")</f>
        <v>MUNICIPALIDAD DISTRITAL</v>
      </c>
      <c r="C426" s="25" t="str">
        <f ca="1">IFERROR(__xludf.DUMMYFUNCTION("""COMPUTED_VALUE"""),"MUNICIPALIDAD DISTRITAL DE CAYARANI")</f>
        <v>MUNICIPALIDAD DISTRITAL DE CAYARANI</v>
      </c>
      <c r="D426" s="25" t="str">
        <f ca="1">IFERROR(__xludf.DUMMYFUNCTION("""COMPUTED_VALUE"""),"AREQUIPA")</f>
        <v>AREQUIPA</v>
      </c>
      <c r="E426" s="25" t="str">
        <f ca="1">IFERROR(__xludf.DUMMYFUNCTION("""COMPUTED_VALUE"""),"AREQUIPA")</f>
        <v>AREQUIPA</v>
      </c>
      <c r="F426" s="25" t="str">
        <f ca="1">IFERROR(__xludf.DUMMYFUNCTION("""COMPUTED_VALUE"""),"CONDESUYOS")</f>
        <v>CONDESUYOS</v>
      </c>
      <c r="G426" s="25" t="str">
        <f ca="1">IFERROR(__xludf.DUMMYFUNCTION("""COMPUTED_VALUE"""),"CAYARANI")</f>
        <v>CAYARANI</v>
      </c>
      <c r="H426" s="25" t="str">
        <f ca="1">IFERROR(__xludf.DUMMYFUNCTION("""COMPUTED_VALUE"""),"RURAL")</f>
        <v>RURAL</v>
      </c>
      <c r="I426" s="25" t="str">
        <f ca="1">IFERROR(__xludf.DUMMYFUNCTION("""COMPUTED_VALUE"""),"Prioridad 5")</f>
        <v>Prioridad 5</v>
      </c>
      <c r="J426" s="43" t="s">
        <v>263</v>
      </c>
    </row>
    <row r="427" spans="2:10">
      <c r="B427" s="25" t="str">
        <f ca="1">IFERROR(__xludf.DUMMYFUNCTION("""COMPUTED_VALUE"""),"MUNICIPALIDAD DISTRITAL")</f>
        <v>MUNICIPALIDAD DISTRITAL</v>
      </c>
      <c r="C427" s="25" t="str">
        <f ca="1">IFERROR(__xludf.DUMMYFUNCTION("""COMPUTED_VALUE"""),"MUNICIPALIDAD DISTRITAL DE CHICHAS")</f>
        <v>MUNICIPALIDAD DISTRITAL DE CHICHAS</v>
      </c>
      <c r="D427" s="25" t="str">
        <f ca="1">IFERROR(__xludf.DUMMYFUNCTION("""COMPUTED_VALUE"""),"AREQUIPA")</f>
        <v>AREQUIPA</v>
      </c>
      <c r="E427" s="25" t="str">
        <f ca="1">IFERROR(__xludf.DUMMYFUNCTION("""COMPUTED_VALUE"""),"AREQUIPA")</f>
        <v>AREQUIPA</v>
      </c>
      <c r="F427" s="25" t="str">
        <f ca="1">IFERROR(__xludf.DUMMYFUNCTION("""COMPUTED_VALUE"""),"CONDESUYOS")</f>
        <v>CONDESUYOS</v>
      </c>
      <c r="G427" s="25" t="str">
        <f ca="1">IFERROR(__xludf.DUMMYFUNCTION("""COMPUTED_VALUE"""),"CHICHAS")</f>
        <v>CHICHAS</v>
      </c>
      <c r="H427" s="25" t="str">
        <f ca="1">IFERROR(__xludf.DUMMYFUNCTION("""COMPUTED_VALUE"""),"RURAL")</f>
        <v>RURAL</v>
      </c>
      <c r="I427" s="25" t="str">
        <f ca="1">IFERROR(__xludf.DUMMYFUNCTION("""COMPUTED_VALUE"""),"Prioridad 3")</f>
        <v>Prioridad 3</v>
      </c>
      <c r="J427" s="43" t="s">
        <v>263</v>
      </c>
    </row>
    <row r="428" spans="2:10">
      <c r="B428" s="25" t="str">
        <f ca="1">IFERROR(__xludf.DUMMYFUNCTION("""COMPUTED_VALUE"""),"MUNICIPALIDAD DISTRITAL")</f>
        <v>MUNICIPALIDAD DISTRITAL</v>
      </c>
      <c r="C428" s="25" t="str">
        <f ca="1">IFERROR(__xludf.DUMMYFUNCTION("""COMPUTED_VALUE"""),"MUNICIPALIDAD DISTRITAL DE IRAY")</f>
        <v>MUNICIPALIDAD DISTRITAL DE IRAY</v>
      </c>
      <c r="D428" s="25" t="str">
        <f ca="1">IFERROR(__xludf.DUMMYFUNCTION("""COMPUTED_VALUE"""),"AREQUIPA")</f>
        <v>AREQUIPA</v>
      </c>
      <c r="E428" s="25" t="str">
        <f ca="1">IFERROR(__xludf.DUMMYFUNCTION("""COMPUTED_VALUE"""),"AREQUIPA")</f>
        <v>AREQUIPA</v>
      </c>
      <c r="F428" s="25" t="str">
        <f ca="1">IFERROR(__xludf.DUMMYFUNCTION("""COMPUTED_VALUE"""),"CONDESUYOS")</f>
        <v>CONDESUYOS</v>
      </c>
      <c r="G428" s="25" t="str">
        <f ca="1">IFERROR(__xludf.DUMMYFUNCTION("""COMPUTED_VALUE"""),"IRAY")</f>
        <v>IRAY</v>
      </c>
      <c r="H428" s="25" t="str">
        <f ca="1">IFERROR(__xludf.DUMMYFUNCTION("""COMPUTED_VALUE"""),"RURAL")</f>
        <v>RURAL</v>
      </c>
      <c r="I428" s="25" t="str">
        <f ca="1">IFERROR(__xludf.DUMMYFUNCTION("""COMPUTED_VALUE"""),"Prioridad 4")</f>
        <v>Prioridad 4</v>
      </c>
      <c r="J428" s="43" t="s">
        <v>263</v>
      </c>
    </row>
    <row r="429" spans="2:10">
      <c r="B429" s="25" t="str">
        <f ca="1">IFERROR(__xludf.DUMMYFUNCTION("""COMPUTED_VALUE"""),"MUNICIPALIDAD DISTRITAL")</f>
        <v>MUNICIPALIDAD DISTRITAL</v>
      </c>
      <c r="C429" s="25" t="str">
        <f ca="1">IFERROR(__xludf.DUMMYFUNCTION("""COMPUTED_VALUE"""),"MUNICIPALIDAD DISTRITAL DE RIO GRANDE EN CONDESUYOS")</f>
        <v>MUNICIPALIDAD DISTRITAL DE RIO GRANDE EN CONDESUYOS</v>
      </c>
      <c r="D429" s="25" t="str">
        <f ca="1">IFERROR(__xludf.DUMMYFUNCTION("""COMPUTED_VALUE"""),"AREQUIPA")</f>
        <v>AREQUIPA</v>
      </c>
      <c r="E429" s="25" t="str">
        <f ca="1">IFERROR(__xludf.DUMMYFUNCTION("""COMPUTED_VALUE"""),"AREQUIPA")</f>
        <v>AREQUIPA</v>
      </c>
      <c r="F429" s="25" t="str">
        <f ca="1">IFERROR(__xludf.DUMMYFUNCTION("""COMPUTED_VALUE"""),"CONDESUYOS")</f>
        <v>CONDESUYOS</v>
      </c>
      <c r="G429" s="25" t="str">
        <f ca="1">IFERROR(__xludf.DUMMYFUNCTION("""COMPUTED_VALUE"""),"RIO GRANDE")</f>
        <v>RIO GRANDE</v>
      </c>
      <c r="H429" s="25" t="str">
        <f ca="1">IFERROR(__xludf.DUMMYFUNCTION("""COMPUTED_VALUE"""),"RURAL")</f>
        <v>RURAL</v>
      </c>
      <c r="I429" s="25" t="str">
        <f ca="1">IFERROR(__xludf.DUMMYFUNCTION("""COMPUTED_VALUE"""),"Prioridad 2")</f>
        <v>Prioridad 2</v>
      </c>
      <c r="J429" s="43" t="s">
        <v>263</v>
      </c>
    </row>
    <row r="430" spans="2:10">
      <c r="B430" s="25" t="str">
        <f ca="1">IFERROR(__xludf.DUMMYFUNCTION("""COMPUTED_VALUE"""),"MUNICIPALIDAD DISTRITAL")</f>
        <v>MUNICIPALIDAD DISTRITAL</v>
      </c>
      <c r="C430" s="25" t="str">
        <f ca="1">IFERROR(__xludf.DUMMYFUNCTION("""COMPUTED_VALUE"""),"MUNICIPALIDAD DISTRITAL DE SALAMANCA")</f>
        <v>MUNICIPALIDAD DISTRITAL DE SALAMANCA</v>
      </c>
      <c r="D430" s="25" t="str">
        <f ca="1">IFERROR(__xludf.DUMMYFUNCTION("""COMPUTED_VALUE"""),"AREQUIPA")</f>
        <v>AREQUIPA</v>
      </c>
      <c r="E430" s="25" t="str">
        <f ca="1">IFERROR(__xludf.DUMMYFUNCTION("""COMPUTED_VALUE"""),"AREQUIPA")</f>
        <v>AREQUIPA</v>
      </c>
      <c r="F430" s="25" t="str">
        <f ca="1">IFERROR(__xludf.DUMMYFUNCTION("""COMPUTED_VALUE"""),"CONDESUYOS")</f>
        <v>CONDESUYOS</v>
      </c>
      <c r="G430" s="25" t="str">
        <f ca="1">IFERROR(__xludf.DUMMYFUNCTION("""COMPUTED_VALUE"""),"SALAMANCA")</f>
        <v>SALAMANCA</v>
      </c>
      <c r="H430" s="25" t="str">
        <f ca="1">IFERROR(__xludf.DUMMYFUNCTION("""COMPUTED_VALUE"""),"RURAL")</f>
        <v>RURAL</v>
      </c>
      <c r="I430" s="25" t="str">
        <f ca="1">IFERROR(__xludf.DUMMYFUNCTION("""COMPUTED_VALUE"""),"Prioridad 4")</f>
        <v>Prioridad 4</v>
      </c>
      <c r="J430" s="43" t="s">
        <v>263</v>
      </c>
    </row>
    <row r="431" spans="2:10">
      <c r="B431" s="25" t="str">
        <f ca="1">IFERROR(__xludf.DUMMYFUNCTION("""COMPUTED_VALUE"""),"MUNICIPALIDAD DISTRITAL")</f>
        <v>MUNICIPALIDAD DISTRITAL</v>
      </c>
      <c r="C431" s="25" t="str">
        <f ca="1">IFERROR(__xludf.DUMMYFUNCTION("""COMPUTED_VALUE"""),"MUNICIPALIDAD DISTRITAL DE YANAQUIHUA")</f>
        <v>MUNICIPALIDAD DISTRITAL DE YANAQUIHUA</v>
      </c>
      <c r="D431" s="25" t="str">
        <f ca="1">IFERROR(__xludf.DUMMYFUNCTION("""COMPUTED_VALUE"""),"AREQUIPA")</f>
        <v>AREQUIPA</v>
      </c>
      <c r="E431" s="25" t="str">
        <f ca="1">IFERROR(__xludf.DUMMYFUNCTION("""COMPUTED_VALUE"""),"AREQUIPA")</f>
        <v>AREQUIPA</v>
      </c>
      <c r="F431" s="25" t="str">
        <f ca="1">IFERROR(__xludf.DUMMYFUNCTION("""COMPUTED_VALUE"""),"CONDESUYOS")</f>
        <v>CONDESUYOS</v>
      </c>
      <c r="G431" s="25" t="str">
        <f ca="1">IFERROR(__xludf.DUMMYFUNCTION("""COMPUTED_VALUE"""),"YANAQUIHUA")</f>
        <v>YANAQUIHUA</v>
      </c>
      <c r="H431" s="25" t="str">
        <f ca="1">IFERROR(__xludf.DUMMYFUNCTION("""COMPUTED_VALUE"""),"RURAL")</f>
        <v>RURAL</v>
      </c>
      <c r="I431" s="25" t="str">
        <f ca="1">IFERROR(__xludf.DUMMYFUNCTION("""COMPUTED_VALUE"""),"Prioridad 5")</f>
        <v>Prioridad 5</v>
      </c>
      <c r="J431" s="43" t="s">
        <v>263</v>
      </c>
    </row>
    <row r="432" spans="2:10">
      <c r="B432" s="25" t="str">
        <f ca="1">IFERROR(__xludf.DUMMYFUNCTION("""COMPUTED_VALUE"""),"MUNICIPALIDAD PROVINCIAL")</f>
        <v>MUNICIPALIDAD PROVINCIAL</v>
      </c>
      <c r="C432" s="25" t="str">
        <f ca="1">IFERROR(__xludf.DUMMYFUNCTION("""COMPUTED_VALUE"""),"MUNICIPALIDAD PROVINCIAL DE ISLAY")</f>
        <v>MUNICIPALIDAD PROVINCIAL DE ISLAY</v>
      </c>
      <c r="D432" s="25" t="str">
        <f ca="1">IFERROR(__xludf.DUMMYFUNCTION("""COMPUTED_VALUE"""),"AREQUIPA")</f>
        <v>AREQUIPA</v>
      </c>
      <c r="E432" s="25" t="str">
        <f ca="1">IFERROR(__xludf.DUMMYFUNCTION("""COMPUTED_VALUE"""),"AREQUIPA")</f>
        <v>AREQUIPA</v>
      </c>
      <c r="F432" s="25" t="str">
        <f ca="1">IFERROR(__xludf.DUMMYFUNCTION("""COMPUTED_VALUE"""),"ISLAY")</f>
        <v>ISLAY</v>
      </c>
      <c r="G432" s="25" t="str">
        <f ca="1">IFERROR(__xludf.DUMMYFUNCTION("""COMPUTED_VALUE"""),"MOLLENDO")</f>
        <v>MOLLENDO</v>
      </c>
      <c r="H432" s="25" t="str">
        <f ca="1">IFERROR(__xludf.DUMMYFUNCTION("""COMPUTED_VALUE"""),"URBANO")</f>
        <v>URBANO</v>
      </c>
      <c r="I432" s="25" t="str">
        <f ca="1">IFERROR(__xludf.DUMMYFUNCTION("""COMPUTED_VALUE"""),"Prioridad 1")</f>
        <v>Prioridad 1</v>
      </c>
      <c r="J432" s="43" t="s">
        <v>263</v>
      </c>
    </row>
    <row r="433" spans="2:10">
      <c r="B433" s="25" t="str">
        <f ca="1">IFERROR(__xludf.DUMMYFUNCTION("""COMPUTED_VALUE"""),"MUNICIPALIDAD DISTRITAL")</f>
        <v>MUNICIPALIDAD DISTRITAL</v>
      </c>
      <c r="C433" s="25" t="str">
        <f ca="1">IFERROR(__xludf.DUMMYFUNCTION("""COMPUTED_VALUE"""),"MUNICIPALIDAD DISTRITAL DE COCACHACRA")</f>
        <v>MUNICIPALIDAD DISTRITAL DE COCACHACRA</v>
      </c>
      <c r="D433" s="25" t="str">
        <f ca="1">IFERROR(__xludf.DUMMYFUNCTION("""COMPUTED_VALUE"""),"AREQUIPA")</f>
        <v>AREQUIPA</v>
      </c>
      <c r="E433" s="25" t="str">
        <f ca="1">IFERROR(__xludf.DUMMYFUNCTION("""COMPUTED_VALUE"""),"AREQUIPA")</f>
        <v>AREQUIPA</v>
      </c>
      <c r="F433" s="25" t="str">
        <f ca="1">IFERROR(__xludf.DUMMYFUNCTION("""COMPUTED_VALUE"""),"ISLAY")</f>
        <v>ISLAY</v>
      </c>
      <c r="G433" s="25" t="str">
        <f ca="1">IFERROR(__xludf.DUMMYFUNCTION("""COMPUTED_VALUE"""),"COCACHACRA")</f>
        <v>COCACHACRA</v>
      </c>
      <c r="H433" s="25" t="str">
        <f ca="1">IFERROR(__xludf.DUMMYFUNCTION("""COMPUTED_VALUE"""),"URBANO")</f>
        <v>URBANO</v>
      </c>
      <c r="I433" s="25" t="str">
        <f ca="1">IFERROR(__xludf.DUMMYFUNCTION("""COMPUTED_VALUE"""),"Prioridad 1")</f>
        <v>Prioridad 1</v>
      </c>
      <c r="J433" s="43" t="s">
        <v>263</v>
      </c>
    </row>
    <row r="434" spans="2:10">
      <c r="B434" s="25" t="str">
        <f ca="1">IFERROR(__xludf.DUMMYFUNCTION("""COMPUTED_VALUE"""),"MUNICIPALIDAD DISTRITAL")</f>
        <v>MUNICIPALIDAD DISTRITAL</v>
      </c>
      <c r="C434" s="25" t="str">
        <f ca="1">IFERROR(__xludf.DUMMYFUNCTION("""COMPUTED_VALUE"""),"MUNICIPALIDAD DISTRITAL DE DEAN VALDIVIA")</f>
        <v>MUNICIPALIDAD DISTRITAL DE DEAN VALDIVIA</v>
      </c>
      <c r="D434" s="25" t="str">
        <f ca="1">IFERROR(__xludf.DUMMYFUNCTION("""COMPUTED_VALUE"""),"AREQUIPA")</f>
        <v>AREQUIPA</v>
      </c>
      <c r="E434" s="25" t="str">
        <f ca="1">IFERROR(__xludf.DUMMYFUNCTION("""COMPUTED_VALUE"""),"AREQUIPA")</f>
        <v>AREQUIPA</v>
      </c>
      <c r="F434" s="25" t="str">
        <f ca="1">IFERROR(__xludf.DUMMYFUNCTION("""COMPUTED_VALUE"""),"ISLAY")</f>
        <v>ISLAY</v>
      </c>
      <c r="G434" s="25" t="str">
        <f ca="1">IFERROR(__xludf.DUMMYFUNCTION("""COMPUTED_VALUE"""),"DEAN VALDIVIA")</f>
        <v>DEAN VALDIVIA</v>
      </c>
      <c r="H434" s="25" t="str">
        <f ca="1">IFERROR(__xludf.DUMMYFUNCTION("""COMPUTED_VALUE"""),"URBANO")</f>
        <v>URBANO</v>
      </c>
      <c r="I434" s="25" t="str">
        <f ca="1">IFERROR(__xludf.DUMMYFUNCTION("""COMPUTED_VALUE"""),"Prioridad 3")</f>
        <v>Prioridad 3</v>
      </c>
      <c r="J434" s="43" t="s">
        <v>263</v>
      </c>
    </row>
    <row r="435" spans="2:10">
      <c r="B435" s="25" t="str">
        <f ca="1">IFERROR(__xludf.DUMMYFUNCTION("""COMPUTED_VALUE"""),"MUNICIPALIDAD DISTRITAL")</f>
        <v>MUNICIPALIDAD DISTRITAL</v>
      </c>
      <c r="C435" s="25" t="str">
        <f ca="1">IFERROR(__xludf.DUMMYFUNCTION("""COMPUTED_VALUE"""),"MUNICIPALIDAD DISTRITAL DE ISLAY")</f>
        <v>MUNICIPALIDAD DISTRITAL DE ISLAY</v>
      </c>
      <c r="D435" s="25" t="str">
        <f ca="1">IFERROR(__xludf.DUMMYFUNCTION("""COMPUTED_VALUE"""),"AREQUIPA")</f>
        <v>AREQUIPA</v>
      </c>
      <c r="E435" s="25" t="str">
        <f ca="1">IFERROR(__xludf.DUMMYFUNCTION("""COMPUTED_VALUE"""),"AREQUIPA")</f>
        <v>AREQUIPA</v>
      </c>
      <c r="F435" s="25" t="str">
        <f ca="1">IFERROR(__xludf.DUMMYFUNCTION("""COMPUTED_VALUE"""),"ISLAY")</f>
        <v>ISLAY</v>
      </c>
      <c r="G435" s="25" t="str">
        <f ca="1">IFERROR(__xludf.DUMMYFUNCTION("""COMPUTED_VALUE"""),"ISLAY")</f>
        <v>ISLAY</v>
      </c>
      <c r="H435" s="25" t="str">
        <f ca="1">IFERROR(__xludf.DUMMYFUNCTION("""COMPUTED_VALUE"""),"URBANO")</f>
        <v>URBANO</v>
      </c>
      <c r="I435" s="25" t="str">
        <f ca="1">IFERROR(__xludf.DUMMYFUNCTION("""COMPUTED_VALUE"""),"Prioridad 1")</f>
        <v>Prioridad 1</v>
      </c>
      <c r="J435" s="43" t="s">
        <v>263</v>
      </c>
    </row>
    <row r="436" spans="2:10">
      <c r="B436" s="25" t="str">
        <f ca="1">IFERROR(__xludf.DUMMYFUNCTION("""COMPUTED_VALUE"""),"MUNICIPALIDAD DISTRITAL")</f>
        <v>MUNICIPALIDAD DISTRITAL</v>
      </c>
      <c r="C436" s="25" t="str">
        <f ca="1">IFERROR(__xludf.DUMMYFUNCTION("""COMPUTED_VALUE"""),"MUNICIPALIDAD DISTRITAL DE MEJIA")</f>
        <v>MUNICIPALIDAD DISTRITAL DE MEJIA</v>
      </c>
      <c r="D436" s="25" t="str">
        <f ca="1">IFERROR(__xludf.DUMMYFUNCTION("""COMPUTED_VALUE"""),"AREQUIPA")</f>
        <v>AREQUIPA</v>
      </c>
      <c r="E436" s="25" t="str">
        <f ca="1">IFERROR(__xludf.DUMMYFUNCTION("""COMPUTED_VALUE"""),"AREQUIPA")</f>
        <v>AREQUIPA</v>
      </c>
      <c r="F436" s="25" t="str">
        <f ca="1">IFERROR(__xludf.DUMMYFUNCTION("""COMPUTED_VALUE"""),"ISLAY")</f>
        <v>ISLAY</v>
      </c>
      <c r="G436" s="25" t="str">
        <f ca="1">IFERROR(__xludf.DUMMYFUNCTION("""COMPUTED_VALUE"""),"MEJIA")</f>
        <v>MEJIA</v>
      </c>
      <c r="H436" s="25" t="str">
        <f ca="1">IFERROR(__xludf.DUMMYFUNCTION("""COMPUTED_VALUE"""),"RURAL")</f>
        <v>RURAL</v>
      </c>
      <c r="I436" s="25" t="str">
        <f ca="1">IFERROR(__xludf.DUMMYFUNCTION("""COMPUTED_VALUE"""),"Prioridad 1")</f>
        <v>Prioridad 1</v>
      </c>
      <c r="J436" s="43" t="s">
        <v>263</v>
      </c>
    </row>
    <row r="437" spans="2:10">
      <c r="B437" s="25" t="str">
        <f ca="1">IFERROR(__xludf.DUMMYFUNCTION("""COMPUTED_VALUE"""),"MUNICIPALIDAD DISTRITAL")</f>
        <v>MUNICIPALIDAD DISTRITAL</v>
      </c>
      <c r="C437" s="25" t="str">
        <f ca="1">IFERROR(__xludf.DUMMYFUNCTION("""COMPUTED_VALUE"""),"MUNICIPALIDAD DISTRITAL DE PUNTA DE BOMBON")</f>
        <v>MUNICIPALIDAD DISTRITAL DE PUNTA DE BOMBON</v>
      </c>
      <c r="D437" s="25" t="str">
        <f ca="1">IFERROR(__xludf.DUMMYFUNCTION("""COMPUTED_VALUE"""),"AREQUIPA")</f>
        <v>AREQUIPA</v>
      </c>
      <c r="E437" s="25" t="str">
        <f ca="1">IFERROR(__xludf.DUMMYFUNCTION("""COMPUTED_VALUE"""),"AREQUIPA")</f>
        <v>AREQUIPA</v>
      </c>
      <c r="F437" s="25" t="str">
        <f ca="1">IFERROR(__xludf.DUMMYFUNCTION("""COMPUTED_VALUE"""),"ISLAY")</f>
        <v>ISLAY</v>
      </c>
      <c r="G437" s="25" t="str">
        <f ca="1">IFERROR(__xludf.DUMMYFUNCTION("""COMPUTED_VALUE"""),"PUNTA DE BOMBON")</f>
        <v>PUNTA DE BOMBON</v>
      </c>
      <c r="H437" s="25" t="str">
        <f ca="1">IFERROR(__xludf.DUMMYFUNCTION("""COMPUTED_VALUE"""),"URBANO")</f>
        <v>URBANO</v>
      </c>
      <c r="I437" s="25" t="str">
        <f ca="1">IFERROR(__xludf.DUMMYFUNCTION("""COMPUTED_VALUE"""),"Prioridad 1")</f>
        <v>Prioridad 1</v>
      </c>
      <c r="J437" s="43" t="s">
        <v>263</v>
      </c>
    </row>
    <row r="438" spans="2:10">
      <c r="B438" s="25" t="str">
        <f ca="1">IFERROR(__xludf.DUMMYFUNCTION("""COMPUTED_VALUE"""),"MUNICIPALIDAD DISTRITAL")</f>
        <v>MUNICIPALIDAD DISTRITAL</v>
      </c>
      <c r="C438" s="25" t="str">
        <f ca="1">IFERROR(__xludf.DUMMYFUNCTION("""COMPUTED_VALUE"""),"MUNICIPALIDAD DISTRITAL DE ALCA")</f>
        <v>MUNICIPALIDAD DISTRITAL DE ALCA</v>
      </c>
      <c r="D438" s="25" t="str">
        <f ca="1">IFERROR(__xludf.DUMMYFUNCTION("""COMPUTED_VALUE"""),"AREQUIPA")</f>
        <v>AREQUIPA</v>
      </c>
      <c r="E438" s="25" t="str">
        <f ca="1">IFERROR(__xludf.DUMMYFUNCTION("""COMPUTED_VALUE"""),"AREQUIPA")</f>
        <v>AREQUIPA</v>
      </c>
      <c r="F438" s="25" t="str">
        <f ca="1">IFERROR(__xludf.DUMMYFUNCTION("""COMPUTED_VALUE"""),"LA UNION")</f>
        <v>LA UNION</v>
      </c>
      <c r="G438" s="25" t="str">
        <f ca="1">IFERROR(__xludf.DUMMYFUNCTION("""COMPUTED_VALUE"""),"ALCA")</f>
        <v>ALCA</v>
      </c>
      <c r="H438" s="25" t="str">
        <f ca="1">IFERROR(__xludf.DUMMYFUNCTION("""COMPUTED_VALUE"""),"RURAL")</f>
        <v>RURAL</v>
      </c>
      <c r="I438" s="25" t="str">
        <f ca="1">IFERROR(__xludf.DUMMYFUNCTION("""COMPUTED_VALUE"""),"Prioridad 4")</f>
        <v>Prioridad 4</v>
      </c>
      <c r="J438" s="43" t="s">
        <v>263</v>
      </c>
    </row>
    <row r="439" spans="2:10">
      <c r="B439" s="25" t="str">
        <f ca="1">IFERROR(__xludf.DUMMYFUNCTION("""COMPUTED_VALUE"""),"MUNICIPALIDAD DISTRITAL")</f>
        <v>MUNICIPALIDAD DISTRITAL</v>
      </c>
      <c r="C439" s="25" t="str">
        <f ca="1">IFERROR(__xludf.DUMMYFUNCTION("""COMPUTED_VALUE"""),"MUNICIPALIDAD DISTRITAL DE CHARCANA")</f>
        <v>MUNICIPALIDAD DISTRITAL DE CHARCANA</v>
      </c>
      <c r="D439" s="25" t="str">
        <f ca="1">IFERROR(__xludf.DUMMYFUNCTION("""COMPUTED_VALUE"""),"AREQUIPA")</f>
        <v>AREQUIPA</v>
      </c>
      <c r="E439" s="25" t="str">
        <f ca="1">IFERROR(__xludf.DUMMYFUNCTION("""COMPUTED_VALUE"""),"AREQUIPA")</f>
        <v>AREQUIPA</v>
      </c>
      <c r="F439" s="25" t="str">
        <f ca="1">IFERROR(__xludf.DUMMYFUNCTION("""COMPUTED_VALUE"""),"LA UNION")</f>
        <v>LA UNION</v>
      </c>
      <c r="G439" s="25" t="str">
        <f ca="1">IFERROR(__xludf.DUMMYFUNCTION("""COMPUTED_VALUE"""),"CHARCANA")</f>
        <v>CHARCANA</v>
      </c>
      <c r="H439" s="25" t="str">
        <f ca="1">IFERROR(__xludf.DUMMYFUNCTION("""COMPUTED_VALUE"""),"RURAL")</f>
        <v>RURAL</v>
      </c>
      <c r="I439" s="25" t="str">
        <f ca="1">IFERROR(__xludf.DUMMYFUNCTION("""COMPUTED_VALUE"""),"Prioridad 5")</f>
        <v>Prioridad 5</v>
      </c>
      <c r="J439" s="43" t="s">
        <v>263</v>
      </c>
    </row>
    <row r="440" spans="2:10">
      <c r="B440" s="25" t="str">
        <f ca="1">IFERROR(__xludf.DUMMYFUNCTION("""COMPUTED_VALUE"""),"MUNICIPALIDAD PROVINCIAL")</f>
        <v>MUNICIPALIDAD PROVINCIAL</v>
      </c>
      <c r="C440" s="25" t="str">
        <f ca="1">IFERROR(__xludf.DUMMYFUNCTION("""COMPUTED_VALUE"""),"MUNICIPALIDAD PROVINCIAL DE LA UNION")</f>
        <v>MUNICIPALIDAD PROVINCIAL DE LA UNION</v>
      </c>
      <c r="D440" s="25" t="str">
        <f ca="1">IFERROR(__xludf.DUMMYFUNCTION("""COMPUTED_VALUE"""),"AREQUIPA")</f>
        <v>AREQUIPA</v>
      </c>
      <c r="E440" s="25" t="str">
        <f ca="1">IFERROR(__xludf.DUMMYFUNCTION("""COMPUTED_VALUE"""),"AREQUIPA")</f>
        <v>AREQUIPA</v>
      </c>
      <c r="F440" s="25" t="str">
        <f ca="1">IFERROR(__xludf.DUMMYFUNCTION("""COMPUTED_VALUE"""),"LA UNION")</f>
        <v>LA UNION</v>
      </c>
      <c r="G440" s="25" t="str">
        <f ca="1">IFERROR(__xludf.DUMMYFUNCTION("""COMPUTED_VALUE"""),"COTAHUASI")</f>
        <v>COTAHUASI</v>
      </c>
      <c r="H440" s="25" t="str">
        <f ca="1">IFERROR(__xludf.DUMMYFUNCTION("""COMPUTED_VALUE"""),"URBANO")</f>
        <v>URBANO</v>
      </c>
      <c r="I440" s="25" t="str">
        <f ca="1">IFERROR(__xludf.DUMMYFUNCTION("""COMPUTED_VALUE"""),"Prioridad 1")</f>
        <v>Prioridad 1</v>
      </c>
      <c r="J440" s="43" t="s">
        <v>263</v>
      </c>
    </row>
    <row r="441" spans="2:10">
      <c r="B441" s="25" t="str">
        <f ca="1">IFERROR(__xludf.DUMMYFUNCTION("""COMPUTED_VALUE"""),"MUNICIPALIDAD DISTRITAL")</f>
        <v>MUNICIPALIDAD DISTRITAL</v>
      </c>
      <c r="C441" s="25" t="str">
        <f ca="1">IFERROR(__xludf.DUMMYFUNCTION("""COMPUTED_VALUE"""),"MUNICIPALIDAD DISTRITAL DE HUAYNACOTAS")</f>
        <v>MUNICIPALIDAD DISTRITAL DE HUAYNACOTAS</v>
      </c>
      <c r="D441" s="25" t="str">
        <f ca="1">IFERROR(__xludf.DUMMYFUNCTION("""COMPUTED_VALUE"""),"AREQUIPA")</f>
        <v>AREQUIPA</v>
      </c>
      <c r="E441" s="25" t="str">
        <f ca="1">IFERROR(__xludf.DUMMYFUNCTION("""COMPUTED_VALUE"""),"AREQUIPA")</f>
        <v>AREQUIPA</v>
      </c>
      <c r="F441" s="25" t="str">
        <f ca="1">IFERROR(__xludf.DUMMYFUNCTION("""COMPUTED_VALUE"""),"LA UNION")</f>
        <v>LA UNION</v>
      </c>
      <c r="G441" s="25" t="str">
        <f ca="1">IFERROR(__xludf.DUMMYFUNCTION("""COMPUTED_VALUE"""),"HUAYNACOTAS")</f>
        <v>HUAYNACOTAS</v>
      </c>
      <c r="H441" s="25" t="str">
        <f ca="1">IFERROR(__xludf.DUMMYFUNCTION("""COMPUTED_VALUE"""),"RURAL")</f>
        <v>RURAL</v>
      </c>
      <c r="I441" s="25" t="str">
        <f ca="1">IFERROR(__xludf.DUMMYFUNCTION("""COMPUTED_VALUE"""),"Prioridad 4")</f>
        <v>Prioridad 4</v>
      </c>
      <c r="J441" s="43" t="s">
        <v>263</v>
      </c>
    </row>
    <row r="442" spans="2:10">
      <c r="B442" s="25" t="str">
        <f ca="1">IFERROR(__xludf.DUMMYFUNCTION("""COMPUTED_VALUE"""),"MUNICIPALIDAD DISTRITAL")</f>
        <v>MUNICIPALIDAD DISTRITAL</v>
      </c>
      <c r="C442" s="25" t="str">
        <f ca="1">IFERROR(__xludf.DUMMYFUNCTION("""COMPUTED_VALUE"""),"MUNICIPALIDAD DISTRITAL DE PAMPAMARCA EN LA UNION")</f>
        <v>MUNICIPALIDAD DISTRITAL DE PAMPAMARCA EN LA UNION</v>
      </c>
      <c r="D442" s="25" t="str">
        <f ca="1">IFERROR(__xludf.DUMMYFUNCTION("""COMPUTED_VALUE"""),"AREQUIPA")</f>
        <v>AREQUIPA</v>
      </c>
      <c r="E442" s="25" t="str">
        <f ca="1">IFERROR(__xludf.DUMMYFUNCTION("""COMPUTED_VALUE"""),"AREQUIPA")</f>
        <v>AREQUIPA</v>
      </c>
      <c r="F442" s="25" t="str">
        <f ca="1">IFERROR(__xludf.DUMMYFUNCTION("""COMPUTED_VALUE"""),"LA UNION")</f>
        <v>LA UNION</v>
      </c>
      <c r="G442" s="25" t="str">
        <f ca="1">IFERROR(__xludf.DUMMYFUNCTION("""COMPUTED_VALUE"""),"PAMPAMARCA")</f>
        <v>PAMPAMARCA</v>
      </c>
      <c r="H442" s="25" t="str">
        <f ca="1">IFERROR(__xludf.DUMMYFUNCTION("""COMPUTED_VALUE"""),"RURAL")</f>
        <v>RURAL</v>
      </c>
      <c r="I442" s="25" t="str">
        <f ca="1">IFERROR(__xludf.DUMMYFUNCTION("""COMPUTED_VALUE"""),"Prioridad 3")</f>
        <v>Prioridad 3</v>
      </c>
      <c r="J442" s="43" t="s">
        <v>263</v>
      </c>
    </row>
    <row r="443" spans="2:10">
      <c r="B443" s="25" t="str">
        <f ca="1">IFERROR(__xludf.DUMMYFUNCTION("""COMPUTED_VALUE"""),"MUNICIPALIDAD DISTRITAL")</f>
        <v>MUNICIPALIDAD DISTRITAL</v>
      </c>
      <c r="C443" s="25" t="str">
        <f ca="1">IFERROR(__xludf.DUMMYFUNCTION("""COMPUTED_VALUE"""),"MUNICIPALIDAD DISTRITAL DE PUYCA")</f>
        <v>MUNICIPALIDAD DISTRITAL DE PUYCA</v>
      </c>
      <c r="D443" s="25" t="str">
        <f ca="1">IFERROR(__xludf.DUMMYFUNCTION("""COMPUTED_VALUE"""),"AREQUIPA")</f>
        <v>AREQUIPA</v>
      </c>
      <c r="E443" s="25" t="str">
        <f ca="1">IFERROR(__xludf.DUMMYFUNCTION("""COMPUTED_VALUE"""),"AREQUIPA")</f>
        <v>AREQUIPA</v>
      </c>
      <c r="F443" s="25" t="str">
        <f ca="1">IFERROR(__xludf.DUMMYFUNCTION("""COMPUTED_VALUE"""),"LA UNION")</f>
        <v>LA UNION</v>
      </c>
      <c r="G443" s="25" t="str">
        <f ca="1">IFERROR(__xludf.DUMMYFUNCTION("""COMPUTED_VALUE"""),"PUYCA")</f>
        <v>PUYCA</v>
      </c>
      <c r="H443" s="25" t="str">
        <f ca="1">IFERROR(__xludf.DUMMYFUNCTION("""COMPUTED_VALUE"""),"RURAL")</f>
        <v>RURAL</v>
      </c>
      <c r="I443" s="25" t="str">
        <f ca="1">IFERROR(__xludf.DUMMYFUNCTION("""COMPUTED_VALUE"""),"Prioridad 5")</f>
        <v>Prioridad 5</v>
      </c>
      <c r="J443" s="43" t="s">
        <v>263</v>
      </c>
    </row>
    <row r="444" spans="2:10">
      <c r="B444" s="25" t="str">
        <f ca="1">IFERROR(__xludf.DUMMYFUNCTION("""COMPUTED_VALUE"""),"MUNICIPALIDAD DISTRITAL")</f>
        <v>MUNICIPALIDAD DISTRITAL</v>
      </c>
      <c r="C444" s="25" t="str">
        <f ca="1">IFERROR(__xludf.DUMMYFUNCTION("""COMPUTED_VALUE"""),"MUNICIPALIDAD DISTRITAL DE QUECHUALLA")</f>
        <v>MUNICIPALIDAD DISTRITAL DE QUECHUALLA</v>
      </c>
      <c r="D444" s="25" t="str">
        <f ca="1">IFERROR(__xludf.DUMMYFUNCTION("""COMPUTED_VALUE"""),"AREQUIPA")</f>
        <v>AREQUIPA</v>
      </c>
      <c r="E444" s="25" t="str">
        <f ca="1">IFERROR(__xludf.DUMMYFUNCTION("""COMPUTED_VALUE"""),"AREQUIPA")</f>
        <v>AREQUIPA</v>
      </c>
      <c r="F444" s="25" t="str">
        <f ca="1">IFERROR(__xludf.DUMMYFUNCTION("""COMPUTED_VALUE"""),"LA UNION")</f>
        <v>LA UNION</v>
      </c>
      <c r="G444" s="25" t="str">
        <f ca="1">IFERROR(__xludf.DUMMYFUNCTION("""COMPUTED_VALUE"""),"QUECHUALLA")</f>
        <v>QUECHUALLA</v>
      </c>
      <c r="H444" s="25" t="str">
        <f ca="1">IFERROR(__xludf.DUMMYFUNCTION("""COMPUTED_VALUE"""),"RURAL")</f>
        <v>RURAL</v>
      </c>
      <c r="I444" s="25" t="str">
        <f ca="1">IFERROR(__xludf.DUMMYFUNCTION("""COMPUTED_VALUE"""),"Prioridad 4")</f>
        <v>Prioridad 4</v>
      </c>
      <c r="J444" s="43" t="s">
        <v>263</v>
      </c>
    </row>
    <row r="445" spans="2:10">
      <c r="B445" s="25" t="str">
        <f ca="1">IFERROR(__xludf.DUMMYFUNCTION("""COMPUTED_VALUE"""),"MUNICIPALIDAD DISTRITAL")</f>
        <v>MUNICIPALIDAD DISTRITAL</v>
      </c>
      <c r="C445" s="25" t="str">
        <f ca="1">IFERROR(__xludf.DUMMYFUNCTION("""COMPUTED_VALUE"""),"MUNICIPALIDAD DISTRITAL DE SAYLA")</f>
        <v>MUNICIPALIDAD DISTRITAL DE SAYLA</v>
      </c>
      <c r="D445" s="25" t="str">
        <f ca="1">IFERROR(__xludf.DUMMYFUNCTION("""COMPUTED_VALUE"""),"AREQUIPA")</f>
        <v>AREQUIPA</v>
      </c>
      <c r="E445" s="25" t="str">
        <f ca="1">IFERROR(__xludf.DUMMYFUNCTION("""COMPUTED_VALUE"""),"AREQUIPA")</f>
        <v>AREQUIPA</v>
      </c>
      <c r="F445" s="25" t="str">
        <f ca="1">IFERROR(__xludf.DUMMYFUNCTION("""COMPUTED_VALUE"""),"LA UNION")</f>
        <v>LA UNION</v>
      </c>
      <c r="G445" s="25" t="str">
        <f ca="1">IFERROR(__xludf.DUMMYFUNCTION("""COMPUTED_VALUE"""),"SAYLA")</f>
        <v>SAYLA</v>
      </c>
      <c r="H445" s="25" t="str">
        <f ca="1">IFERROR(__xludf.DUMMYFUNCTION("""COMPUTED_VALUE"""),"RURAL")</f>
        <v>RURAL</v>
      </c>
      <c r="I445" s="25" t="str">
        <f ca="1">IFERROR(__xludf.DUMMYFUNCTION("""COMPUTED_VALUE"""),"Prioridad 3")</f>
        <v>Prioridad 3</v>
      </c>
      <c r="J445" s="43" t="s">
        <v>263</v>
      </c>
    </row>
    <row r="446" spans="2:10">
      <c r="B446" s="25" t="str">
        <f ca="1">IFERROR(__xludf.DUMMYFUNCTION("""COMPUTED_VALUE"""),"MUNICIPALIDAD DISTRITAL")</f>
        <v>MUNICIPALIDAD DISTRITAL</v>
      </c>
      <c r="C446" s="25" t="str">
        <f ca="1">IFERROR(__xludf.DUMMYFUNCTION("""COMPUTED_VALUE"""),"MUNICIPALIDAD DISTRITAL DE TAURIA")</f>
        <v>MUNICIPALIDAD DISTRITAL DE TAURIA</v>
      </c>
      <c r="D446" s="25" t="str">
        <f ca="1">IFERROR(__xludf.DUMMYFUNCTION("""COMPUTED_VALUE"""),"AREQUIPA")</f>
        <v>AREQUIPA</v>
      </c>
      <c r="E446" s="25" t="str">
        <f ca="1">IFERROR(__xludf.DUMMYFUNCTION("""COMPUTED_VALUE"""),"AREQUIPA")</f>
        <v>AREQUIPA</v>
      </c>
      <c r="F446" s="25" t="str">
        <f ca="1">IFERROR(__xludf.DUMMYFUNCTION("""COMPUTED_VALUE"""),"LA UNION")</f>
        <v>LA UNION</v>
      </c>
      <c r="G446" s="25" t="str">
        <f ca="1">IFERROR(__xludf.DUMMYFUNCTION("""COMPUTED_VALUE"""),"TAURIA")</f>
        <v>TAURIA</v>
      </c>
      <c r="H446" s="25" t="str">
        <f ca="1">IFERROR(__xludf.DUMMYFUNCTION("""COMPUTED_VALUE"""),"RURAL")</f>
        <v>RURAL</v>
      </c>
      <c r="I446" s="25" t="str">
        <f ca="1">IFERROR(__xludf.DUMMYFUNCTION("""COMPUTED_VALUE"""),"Prioridad 4")</f>
        <v>Prioridad 4</v>
      </c>
      <c r="J446" s="43" t="s">
        <v>263</v>
      </c>
    </row>
    <row r="447" spans="2:10">
      <c r="B447" s="25" t="str">
        <f ca="1">IFERROR(__xludf.DUMMYFUNCTION("""COMPUTED_VALUE"""),"MUNICIPALIDAD DISTRITAL")</f>
        <v>MUNICIPALIDAD DISTRITAL</v>
      </c>
      <c r="C447" s="25" t="str">
        <f ca="1">IFERROR(__xludf.DUMMYFUNCTION("""COMPUTED_VALUE"""),"MUNICIPALIDAD DISTRITAL DE TOMEPAMPA")</f>
        <v>MUNICIPALIDAD DISTRITAL DE TOMEPAMPA</v>
      </c>
      <c r="D447" s="25" t="str">
        <f ca="1">IFERROR(__xludf.DUMMYFUNCTION("""COMPUTED_VALUE"""),"AREQUIPA")</f>
        <v>AREQUIPA</v>
      </c>
      <c r="E447" s="25" t="str">
        <f ca="1">IFERROR(__xludf.DUMMYFUNCTION("""COMPUTED_VALUE"""),"AREQUIPA")</f>
        <v>AREQUIPA</v>
      </c>
      <c r="F447" s="25" t="str">
        <f ca="1">IFERROR(__xludf.DUMMYFUNCTION("""COMPUTED_VALUE"""),"LA UNION")</f>
        <v>LA UNION</v>
      </c>
      <c r="G447" s="25" t="str">
        <f ca="1">IFERROR(__xludf.DUMMYFUNCTION("""COMPUTED_VALUE"""),"TOMEPAMPA")</f>
        <v>TOMEPAMPA</v>
      </c>
      <c r="H447" s="25" t="str">
        <f ca="1">IFERROR(__xludf.DUMMYFUNCTION("""COMPUTED_VALUE"""),"RURAL")</f>
        <v>RURAL</v>
      </c>
      <c r="I447" s="25" t="str">
        <f ca="1">IFERROR(__xludf.DUMMYFUNCTION("""COMPUTED_VALUE"""),"Prioridad 4")</f>
        <v>Prioridad 4</v>
      </c>
      <c r="J447" s="43" t="s">
        <v>263</v>
      </c>
    </row>
    <row r="448" spans="2:10">
      <c r="B448" s="25" t="str">
        <f ca="1">IFERROR(__xludf.DUMMYFUNCTION("""COMPUTED_VALUE"""),"MUNICIPALIDAD DISTRITAL")</f>
        <v>MUNICIPALIDAD DISTRITAL</v>
      </c>
      <c r="C448" s="25" t="str">
        <f ca="1">IFERROR(__xludf.DUMMYFUNCTION("""COMPUTED_VALUE"""),"MUNICIPALIDAD DISTRITAL DE TORO")</f>
        <v>MUNICIPALIDAD DISTRITAL DE TORO</v>
      </c>
      <c r="D448" s="25" t="str">
        <f ca="1">IFERROR(__xludf.DUMMYFUNCTION("""COMPUTED_VALUE"""),"AREQUIPA")</f>
        <v>AREQUIPA</v>
      </c>
      <c r="E448" s="25" t="str">
        <f ca="1">IFERROR(__xludf.DUMMYFUNCTION("""COMPUTED_VALUE"""),"AREQUIPA")</f>
        <v>AREQUIPA</v>
      </c>
      <c r="F448" s="25" t="str">
        <f ca="1">IFERROR(__xludf.DUMMYFUNCTION("""COMPUTED_VALUE"""),"LA UNION")</f>
        <v>LA UNION</v>
      </c>
      <c r="G448" s="25" t="str">
        <f ca="1">IFERROR(__xludf.DUMMYFUNCTION("""COMPUTED_VALUE"""),"TORO")</f>
        <v>TORO</v>
      </c>
      <c r="H448" s="25" t="str">
        <f ca="1">IFERROR(__xludf.DUMMYFUNCTION("""COMPUTED_VALUE"""),"RURAL")</f>
        <v>RURAL</v>
      </c>
      <c r="I448" s="25" t="str">
        <f ca="1">IFERROR(__xludf.DUMMYFUNCTION("""COMPUTED_VALUE"""),"Prioridad 5")</f>
        <v>Prioridad 5</v>
      </c>
      <c r="J448" s="43" t="s">
        <v>263</v>
      </c>
    </row>
    <row r="449" spans="2:10">
      <c r="B449" s="25" t="str">
        <f ca="1">IFERROR(__xludf.DUMMYFUNCTION("""COMPUTED_VALUE"""),"MUNICIPALIDAD PROVINCIAL")</f>
        <v>MUNICIPALIDAD PROVINCIAL</v>
      </c>
      <c r="C449" s="25" t="str">
        <f ca="1">IFERROR(__xludf.DUMMYFUNCTION("""COMPUTED_VALUE"""),"MUNICIPALIDAD PROVINCIAL DE CANGALLO")</f>
        <v>MUNICIPALIDAD PROVINCIAL DE CANGALLO</v>
      </c>
      <c r="D449" s="25" t="str">
        <f ca="1">IFERROR(__xludf.DUMMYFUNCTION("""COMPUTED_VALUE"""),"ICA")</f>
        <v>ICA</v>
      </c>
      <c r="E449" s="25" t="str">
        <f ca="1">IFERROR(__xludf.DUMMYFUNCTION("""COMPUTED_VALUE"""),"AYACUCHO")</f>
        <v>AYACUCHO</v>
      </c>
      <c r="F449" s="25" t="str">
        <f ca="1">IFERROR(__xludf.DUMMYFUNCTION("""COMPUTED_VALUE"""),"CANGALLO")</f>
        <v>CANGALLO</v>
      </c>
      <c r="G449" s="25" t="str">
        <f ca="1">IFERROR(__xludf.DUMMYFUNCTION("""COMPUTED_VALUE"""),"CANGALLO")</f>
        <v>CANGALLO</v>
      </c>
      <c r="H449" s="25" t="str">
        <f ca="1">IFERROR(__xludf.DUMMYFUNCTION("""COMPUTED_VALUE"""),"RURAL")</f>
        <v>RURAL</v>
      </c>
      <c r="I449" s="25" t="str">
        <f ca="1">IFERROR(__xludf.DUMMYFUNCTION("""COMPUTED_VALUE"""),"Prioridad 2")</f>
        <v>Prioridad 2</v>
      </c>
      <c r="J449" s="43" t="s">
        <v>262</v>
      </c>
    </row>
    <row r="450" spans="2:10">
      <c r="B450" s="25" t="str">
        <f ca="1">IFERROR(__xludf.DUMMYFUNCTION("""COMPUTED_VALUE"""),"MUNICIPALIDAD DISTRITAL")</f>
        <v>MUNICIPALIDAD DISTRITAL</v>
      </c>
      <c r="C450" s="25" t="str">
        <f ca="1">IFERROR(__xludf.DUMMYFUNCTION("""COMPUTED_VALUE"""),"MUNICIPALIDAD DISTRITAL DE CHUSCHI")</f>
        <v>MUNICIPALIDAD DISTRITAL DE CHUSCHI</v>
      </c>
      <c r="D450" s="25" t="str">
        <f ca="1">IFERROR(__xludf.DUMMYFUNCTION("""COMPUTED_VALUE"""),"ICA")</f>
        <v>ICA</v>
      </c>
      <c r="E450" s="25" t="str">
        <f ca="1">IFERROR(__xludf.DUMMYFUNCTION("""COMPUTED_VALUE"""),"AYACUCHO")</f>
        <v>AYACUCHO</v>
      </c>
      <c r="F450" s="25" t="str">
        <f ca="1">IFERROR(__xludf.DUMMYFUNCTION("""COMPUTED_VALUE"""),"CANGALLO")</f>
        <v>CANGALLO</v>
      </c>
      <c r="G450" s="25" t="str">
        <f ca="1">IFERROR(__xludf.DUMMYFUNCTION("""COMPUTED_VALUE"""),"CHUSCHI")</f>
        <v>CHUSCHI</v>
      </c>
      <c r="H450" s="25" t="str">
        <f ca="1">IFERROR(__xludf.DUMMYFUNCTION("""COMPUTED_VALUE"""),"RURAL")</f>
        <v>RURAL</v>
      </c>
      <c r="I450" s="25" t="str">
        <f ca="1">IFERROR(__xludf.DUMMYFUNCTION("""COMPUTED_VALUE"""),"Prioridad 4")</f>
        <v>Prioridad 4</v>
      </c>
      <c r="J450" s="43" t="s">
        <v>262</v>
      </c>
    </row>
    <row r="451" spans="2:10">
      <c r="B451" s="25" t="str">
        <f ca="1">IFERROR(__xludf.DUMMYFUNCTION("""COMPUTED_VALUE"""),"MUNICIPALIDAD DISTRITAL")</f>
        <v>MUNICIPALIDAD DISTRITAL</v>
      </c>
      <c r="C451" s="25" t="str">
        <f ca="1">IFERROR(__xludf.DUMMYFUNCTION("""COMPUTED_VALUE"""),"MUNICIPALIDAD DISTRITAL DE LOS MOROCHUCOS")</f>
        <v>MUNICIPALIDAD DISTRITAL DE LOS MOROCHUCOS</v>
      </c>
      <c r="D451" s="25" t="str">
        <f ca="1">IFERROR(__xludf.DUMMYFUNCTION("""COMPUTED_VALUE"""),"ICA")</f>
        <v>ICA</v>
      </c>
      <c r="E451" s="25" t="str">
        <f ca="1">IFERROR(__xludf.DUMMYFUNCTION("""COMPUTED_VALUE"""),"AYACUCHO")</f>
        <v>AYACUCHO</v>
      </c>
      <c r="F451" s="25" t="str">
        <f ca="1">IFERROR(__xludf.DUMMYFUNCTION("""COMPUTED_VALUE"""),"CANGALLO")</f>
        <v>CANGALLO</v>
      </c>
      <c r="G451" s="25" t="str">
        <f ca="1">IFERROR(__xludf.DUMMYFUNCTION("""COMPUTED_VALUE"""),"LOS MOROCHUCOS")</f>
        <v>LOS MOROCHUCOS</v>
      </c>
      <c r="H451" s="25" t="str">
        <f ca="1">IFERROR(__xludf.DUMMYFUNCTION("""COMPUTED_VALUE"""),"RURAL")</f>
        <v>RURAL</v>
      </c>
      <c r="I451" s="25" t="str">
        <f ca="1">IFERROR(__xludf.DUMMYFUNCTION("""COMPUTED_VALUE"""),"Prioridad 3")</f>
        <v>Prioridad 3</v>
      </c>
      <c r="J451" s="43" t="s">
        <v>262</v>
      </c>
    </row>
    <row r="452" spans="2:10">
      <c r="B452" s="25" t="str">
        <f ca="1">IFERROR(__xludf.DUMMYFUNCTION("""COMPUTED_VALUE"""),"MUNICIPALIDAD DISTRITAL")</f>
        <v>MUNICIPALIDAD DISTRITAL</v>
      </c>
      <c r="C452" s="25" t="str">
        <f ca="1">IFERROR(__xludf.DUMMYFUNCTION("""COMPUTED_VALUE"""),"MUNICIPALIDAD DISTRITAL DE MARIA PARADO DE BELLIDO")</f>
        <v>MUNICIPALIDAD DISTRITAL DE MARIA PARADO DE BELLIDO</v>
      </c>
      <c r="D452" s="25" t="str">
        <f ca="1">IFERROR(__xludf.DUMMYFUNCTION("""COMPUTED_VALUE"""),"ICA")</f>
        <v>ICA</v>
      </c>
      <c r="E452" s="25" t="str">
        <f ca="1">IFERROR(__xludf.DUMMYFUNCTION("""COMPUTED_VALUE"""),"AYACUCHO")</f>
        <v>AYACUCHO</v>
      </c>
      <c r="F452" s="25" t="str">
        <f ca="1">IFERROR(__xludf.DUMMYFUNCTION("""COMPUTED_VALUE"""),"CANGALLO")</f>
        <v>CANGALLO</v>
      </c>
      <c r="G452" s="25" t="str">
        <f ca="1">IFERROR(__xludf.DUMMYFUNCTION("""COMPUTED_VALUE"""),"MARIA PARADO DE BELLIDO")</f>
        <v>MARIA PARADO DE BELLIDO</v>
      </c>
      <c r="H452" s="25" t="str">
        <f ca="1">IFERROR(__xludf.DUMMYFUNCTION("""COMPUTED_VALUE"""),"RURAL")</f>
        <v>RURAL</v>
      </c>
      <c r="I452" s="25" t="str">
        <f ca="1">IFERROR(__xludf.DUMMYFUNCTION("""COMPUTED_VALUE"""),"Prioridad 5")</f>
        <v>Prioridad 5</v>
      </c>
      <c r="J452" s="43" t="s">
        <v>262</v>
      </c>
    </row>
    <row r="453" spans="2:10">
      <c r="B453" s="25" t="str">
        <f ca="1">IFERROR(__xludf.DUMMYFUNCTION("""COMPUTED_VALUE"""),"MUNICIPALIDAD DISTRITAL")</f>
        <v>MUNICIPALIDAD DISTRITAL</v>
      </c>
      <c r="C453" s="25" t="str">
        <f ca="1">IFERROR(__xludf.DUMMYFUNCTION("""COMPUTED_VALUE"""),"MUNICIPALIDAD DISTRITAL DE PARAS")</f>
        <v>MUNICIPALIDAD DISTRITAL DE PARAS</v>
      </c>
      <c r="D453" s="25" t="str">
        <f ca="1">IFERROR(__xludf.DUMMYFUNCTION("""COMPUTED_VALUE"""),"ICA")</f>
        <v>ICA</v>
      </c>
      <c r="E453" s="25" t="str">
        <f ca="1">IFERROR(__xludf.DUMMYFUNCTION("""COMPUTED_VALUE"""),"AYACUCHO")</f>
        <v>AYACUCHO</v>
      </c>
      <c r="F453" s="25" t="str">
        <f ca="1">IFERROR(__xludf.DUMMYFUNCTION("""COMPUTED_VALUE"""),"CANGALLO")</f>
        <v>CANGALLO</v>
      </c>
      <c r="G453" s="25" t="str">
        <f ca="1">IFERROR(__xludf.DUMMYFUNCTION("""COMPUTED_VALUE"""),"PARAS")</f>
        <v>PARAS</v>
      </c>
      <c r="H453" s="25" t="str">
        <f ca="1">IFERROR(__xludf.DUMMYFUNCTION("""COMPUTED_VALUE"""),"RURAL")</f>
        <v>RURAL</v>
      </c>
      <c r="I453" s="25" t="str">
        <f ca="1">IFERROR(__xludf.DUMMYFUNCTION("""COMPUTED_VALUE"""),"Prioridad 4")</f>
        <v>Prioridad 4</v>
      </c>
      <c r="J453" s="43" t="s">
        <v>262</v>
      </c>
    </row>
    <row r="454" spans="2:10">
      <c r="B454" s="25" t="str">
        <f ca="1">IFERROR(__xludf.DUMMYFUNCTION("""COMPUTED_VALUE"""),"MUNICIPALIDAD DISTRITAL")</f>
        <v>MUNICIPALIDAD DISTRITAL</v>
      </c>
      <c r="C454" s="25" t="str">
        <f ca="1">IFERROR(__xludf.DUMMYFUNCTION("""COMPUTED_VALUE"""),"MUNICIPALIDAD DISTRITAL DE TOTOS")</f>
        <v>MUNICIPALIDAD DISTRITAL DE TOTOS</v>
      </c>
      <c r="D454" s="25" t="str">
        <f ca="1">IFERROR(__xludf.DUMMYFUNCTION("""COMPUTED_VALUE"""),"ICA")</f>
        <v>ICA</v>
      </c>
      <c r="E454" s="25" t="str">
        <f ca="1">IFERROR(__xludf.DUMMYFUNCTION("""COMPUTED_VALUE"""),"AYACUCHO")</f>
        <v>AYACUCHO</v>
      </c>
      <c r="F454" s="25" t="str">
        <f ca="1">IFERROR(__xludf.DUMMYFUNCTION("""COMPUTED_VALUE"""),"CANGALLO")</f>
        <v>CANGALLO</v>
      </c>
      <c r="G454" s="25" t="str">
        <f ca="1">IFERROR(__xludf.DUMMYFUNCTION("""COMPUTED_VALUE"""),"TOTOS")</f>
        <v>TOTOS</v>
      </c>
      <c r="H454" s="25" t="str">
        <f ca="1">IFERROR(__xludf.DUMMYFUNCTION("""COMPUTED_VALUE"""),"RURAL")</f>
        <v>RURAL</v>
      </c>
      <c r="I454" s="25" t="str">
        <f ca="1">IFERROR(__xludf.DUMMYFUNCTION("""COMPUTED_VALUE"""),"Prioridad 4")</f>
        <v>Prioridad 4</v>
      </c>
      <c r="J454" s="43" t="s">
        <v>262</v>
      </c>
    </row>
    <row r="455" spans="2:10">
      <c r="B455" s="25" t="str">
        <f ca="1">IFERROR(__xludf.DUMMYFUNCTION("""COMPUTED_VALUE"""),"MUNICIPALIDAD DISTRITAL")</f>
        <v>MUNICIPALIDAD DISTRITAL</v>
      </c>
      <c r="C455" s="25" t="str">
        <f ca="1">IFERROR(__xludf.DUMMYFUNCTION("""COMPUTED_VALUE"""),"MUNICIPALIDAD DISTRITAL DE ACOCRO")</f>
        <v>MUNICIPALIDAD DISTRITAL DE ACOCRO</v>
      </c>
      <c r="D455" s="25" t="str">
        <f ca="1">IFERROR(__xludf.DUMMYFUNCTION("""COMPUTED_VALUE"""),"ICA")</f>
        <v>ICA</v>
      </c>
      <c r="E455" s="25" t="str">
        <f ca="1">IFERROR(__xludf.DUMMYFUNCTION("""COMPUTED_VALUE"""),"AYACUCHO")</f>
        <v>AYACUCHO</v>
      </c>
      <c r="F455" s="25" t="str">
        <f ca="1">IFERROR(__xludf.DUMMYFUNCTION("""COMPUTED_VALUE"""),"HUAMANGA")</f>
        <v>HUAMANGA</v>
      </c>
      <c r="G455" s="25" t="str">
        <f ca="1">IFERROR(__xludf.DUMMYFUNCTION("""COMPUTED_VALUE"""),"ACOCRO")</f>
        <v>ACOCRO</v>
      </c>
      <c r="H455" s="25" t="str">
        <f ca="1">IFERROR(__xludf.DUMMYFUNCTION("""COMPUTED_VALUE"""),"RURAL")</f>
        <v>RURAL</v>
      </c>
      <c r="I455" s="25" t="str">
        <f ca="1">IFERROR(__xludf.DUMMYFUNCTION("""COMPUTED_VALUE"""),"Prioridad 5")</f>
        <v>Prioridad 5</v>
      </c>
      <c r="J455" s="43" t="s">
        <v>262</v>
      </c>
    </row>
    <row r="456" spans="2:10">
      <c r="B456" s="25" t="str">
        <f ca="1">IFERROR(__xludf.DUMMYFUNCTION("""COMPUTED_VALUE"""),"MUNICIPALIDAD DISTRITAL")</f>
        <v>MUNICIPALIDAD DISTRITAL</v>
      </c>
      <c r="C456" s="25" t="str">
        <f ca="1">IFERROR(__xludf.DUMMYFUNCTION("""COMPUTED_VALUE"""),"MUNICIPALIDAD DISTRITAL DE ACOS VINCHOS")</f>
        <v>MUNICIPALIDAD DISTRITAL DE ACOS VINCHOS</v>
      </c>
      <c r="D456" s="25" t="str">
        <f ca="1">IFERROR(__xludf.DUMMYFUNCTION("""COMPUTED_VALUE"""),"ICA")</f>
        <v>ICA</v>
      </c>
      <c r="E456" s="25" t="str">
        <f ca="1">IFERROR(__xludf.DUMMYFUNCTION("""COMPUTED_VALUE"""),"AYACUCHO")</f>
        <v>AYACUCHO</v>
      </c>
      <c r="F456" s="25" t="str">
        <f ca="1">IFERROR(__xludf.DUMMYFUNCTION("""COMPUTED_VALUE"""),"HUAMANGA")</f>
        <v>HUAMANGA</v>
      </c>
      <c r="G456" s="25" t="str">
        <f ca="1">IFERROR(__xludf.DUMMYFUNCTION("""COMPUTED_VALUE"""),"ACOS VINCHOS")</f>
        <v>ACOS VINCHOS</v>
      </c>
      <c r="H456" s="25" t="str">
        <f ca="1">IFERROR(__xludf.DUMMYFUNCTION("""COMPUTED_VALUE"""),"RURAL")</f>
        <v>RURAL</v>
      </c>
      <c r="I456" s="25" t="str">
        <f ca="1">IFERROR(__xludf.DUMMYFUNCTION("""COMPUTED_VALUE"""),"Prioridad 5")</f>
        <v>Prioridad 5</v>
      </c>
      <c r="J456" s="43" t="s">
        <v>262</v>
      </c>
    </row>
    <row r="457" spans="2:10">
      <c r="B457" s="25" t="str">
        <f ca="1">IFERROR(__xludf.DUMMYFUNCTION("""COMPUTED_VALUE"""),"MUNICIPALIDAD DISTRITAL")</f>
        <v>MUNICIPALIDAD DISTRITAL</v>
      </c>
      <c r="C457" s="25" t="str">
        <f ca="1">IFERROR(__xludf.DUMMYFUNCTION("""COMPUTED_VALUE"""),"MUNICIPALIDAD DISTRITAL DE ANDRES AVELINO CACERES")</f>
        <v>MUNICIPALIDAD DISTRITAL DE ANDRES AVELINO CACERES</v>
      </c>
      <c r="D457" s="25" t="str">
        <f ca="1">IFERROR(__xludf.DUMMYFUNCTION("""COMPUTED_VALUE"""),"ICA")</f>
        <v>ICA</v>
      </c>
      <c r="E457" s="25" t="str">
        <f ca="1">IFERROR(__xludf.DUMMYFUNCTION("""COMPUTED_VALUE"""),"AYACUCHO")</f>
        <v>AYACUCHO</v>
      </c>
      <c r="F457" s="25" t="str">
        <f ca="1">IFERROR(__xludf.DUMMYFUNCTION("""COMPUTED_VALUE"""),"HUAMANGA")</f>
        <v>HUAMANGA</v>
      </c>
      <c r="G457" s="25" t="str">
        <f ca="1">IFERROR(__xludf.DUMMYFUNCTION("""COMPUTED_VALUE"""),"ANDRES AVELINO CACERES DORREGARAY")</f>
        <v>ANDRES AVELINO CACERES DORREGARAY</v>
      </c>
      <c r="H457" s="25" t="str">
        <f ca="1">IFERROR(__xludf.DUMMYFUNCTION("""COMPUTED_VALUE"""),"URBANO")</f>
        <v>URBANO</v>
      </c>
      <c r="I457" s="25" t="str">
        <f ca="1">IFERROR(__xludf.DUMMYFUNCTION("""COMPUTED_VALUE"""),"Prioridad 1")</f>
        <v>Prioridad 1</v>
      </c>
      <c r="J457" s="43" t="s">
        <v>262</v>
      </c>
    </row>
    <row r="458" spans="2:10">
      <c r="B458" s="25" t="str">
        <f ca="1">IFERROR(__xludf.DUMMYFUNCTION("""COMPUTED_VALUE"""),"MUNICIPALIDAD PROVINCIAL")</f>
        <v>MUNICIPALIDAD PROVINCIAL</v>
      </c>
      <c r="C458" s="25" t="str">
        <f ca="1">IFERROR(__xludf.DUMMYFUNCTION("""COMPUTED_VALUE"""),"MUNICIPALIDAD PROVINCIAL DE HUAMANGA")</f>
        <v>MUNICIPALIDAD PROVINCIAL DE HUAMANGA</v>
      </c>
      <c r="D458" s="25" t="str">
        <f ca="1">IFERROR(__xludf.DUMMYFUNCTION("""COMPUTED_VALUE"""),"ICA")</f>
        <v>ICA</v>
      </c>
      <c r="E458" s="25" t="str">
        <f ca="1">IFERROR(__xludf.DUMMYFUNCTION("""COMPUTED_VALUE"""),"AYACUCHO")</f>
        <v>AYACUCHO</v>
      </c>
      <c r="F458" s="25" t="str">
        <f ca="1">IFERROR(__xludf.DUMMYFUNCTION("""COMPUTED_VALUE"""),"HUAMANGA")</f>
        <v>HUAMANGA</v>
      </c>
      <c r="G458" s="25" t="str">
        <f ca="1">IFERROR(__xludf.DUMMYFUNCTION("""COMPUTED_VALUE"""),"AYACUCHO")</f>
        <v>AYACUCHO</v>
      </c>
      <c r="H458" s="25" t="str">
        <f ca="1">IFERROR(__xludf.DUMMYFUNCTION("""COMPUTED_VALUE"""),"URBANO")</f>
        <v>URBANO</v>
      </c>
      <c r="I458" s="25" t="str">
        <f ca="1">IFERROR(__xludf.DUMMYFUNCTION("""COMPUTED_VALUE"""),"Prioridad 1")</f>
        <v>Prioridad 1</v>
      </c>
      <c r="J458" s="43" t="s">
        <v>262</v>
      </c>
    </row>
    <row r="459" spans="2:10">
      <c r="B459" s="25" t="str">
        <f ca="1">IFERROR(__xludf.DUMMYFUNCTION("""COMPUTED_VALUE"""),"MUNICIPALIDAD DISTRITAL")</f>
        <v>MUNICIPALIDAD DISTRITAL</v>
      </c>
      <c r="C459" s="25" t="str">
        <f ca="1">IFERROR(__xludf.DUMMYFUNCTION("""COMPUTED_VALUE"""),"MUNICIPALIDAD DISTRITAL DE CARMEN ALTO")</f>
        <v>MUNICIPALIDAD DISTRITAL DE CARMEN ALTO</v>
      </c>
      <c r="D459" s="25" t="str">
        <f ca="1">IFERROR(__xludf.DUMMYFUNCTION("""COMPUTED_VALUE"""),"ICA")</f>
        <v>ICA</v>
      </c>
      <c r="E459" s="25" t="str">
        <f ca="1">IFERROR(__xludf.DUMMYFUNCTION("""COMPUTED_VALUE"""),"AYACUCHO")</f>
        <v>AYACUCHO</v>
      </c>
      <c r="F459" s="25" t="str">
        <f ca="1">IFERROR(__xludf.DUMMYFUNCTION("""COMPUTED_VALUE"""),"HUAMANGA")</f>
        <v>HUAMANGA</v>
      </c>
      <c r="G459" s="25" t="str">
        <f ca="1">IFERROR(__xludf.DUMMYFUNCTION("""COMPUTED_VALUE"""),"CARMEN ALTO")</f>
        <v>CARMEN ALTO</v>
      </c>
      <c r="H459" s="25" t="str">
        <f ca="1">IFERROR(__xludf.DUMMYFUNCTION("""COMPUTED_VALUE"""),"URBANO")</f>
        <v>URBANO</v>
      </c>
      <c r="I459" s="25" t="str">
        <f ca="1">IFERROR(__xludf.DUMMYFUNCTION("""COMPUTED_VALUE"""),"Prioridad 1")</f>
        <v>Prioridad 1</v>
      </c>
      <c r="J459" s="43" t="s">
        <v>262</v>
      </c>
    </row>
    <row r="460" spans="2:10">
      <c r="B460" s="25" t="str">
        <f ca="1">IFERROR(__xludf.DUMMYFUNCTION("""COMPUTED_VALUE"""),"MUNICIPALIDAD DISTRITAL")</f>
        <v>MUNICIPALIDAD DISTRITAL</v>
      </c>
      <c r="C460" s="25" t="str">
        <f ca="1">IFERROR(__xludf.DUMMYFUNCTION("""COMPUTED_VALUE"""),"MUNICIPALIDAD DISTRITAL DE CHIARA EN HUAMANGA")</f>
        <v>MUNICIPALIDAD DISTRITAL DE CHIARA EN HUAMANGA</v>
      </c>
      <c r="D460" s="25" t="str">
        <f ca="1">IFERROR(__xludf.DUMMYFUNCTION("""COMPUTED_VALUE"""),"ICA")</f>
        <v>ICA</v>
      </c>
      <c r="E460" s="25" t="str">
        <f ca="1">IFERROR(__xludf.DUMMYFUNCTION("""COMPUTED_VALUE"""),"AYACUCHO")</f>
        <v>AYACUCHO</v>
      </c>
      <c r="F460" s="25" t="str">
        <f ca="1">IFERROR(__xludf.DUMMYFUNCTION("""COMPUTED_VALUE"""),"HUAMANGA")</f>
        <v>HUAMANGA</v>
      </c>
      <c r="G460" s="25" t="str">
        <f ca="1">IFERROR(__xludf.DUMMYFUNCTION("""COMPUTED_VALUE"""),"CHIARA")</f>
        <v>CHIARA</v>
      </c>
      <c r="H460" s="25" t="str">
        <f ca="1">IFERROR(__xludf.DUMMYFUNCTION("""COMPUTED_VALUE"""),"RURAL")</f>
        <v>RURAL</v>
      </c>
      <c r="I460" s="25" t="str">
        <f ca="1">IFERROR(__xludf.DUMMYFUNCTION("""COMPUTED_VALUE"""),"Prioridad 5")</f>
        <v>Prioridad 5</v>
      </c>
      <c r="J460" s="43" t="s">
        <v>262</v>
      </c>
    </row>
    <row r="461" spans="2:10">
      <c r="B461" s="25" t="str">
        <f ca="1">IFERROR(__xludf.DUMMYFUNCTION("""COMPUTED_VALUE"""),"MUNICIPALIDAD DISTRITAL")</f>
        <v>MUNICIPALIDAD DISTRITAL</v>
      </c>
      <c r="C461" s="25" t="str">
        <f ca="1">IFERROR(__xludf.DUMMYFUNCTION("""COMPUTED_VALUE"""),"MUNICIPALIDAD DISTRITAL DE JESUS NAZARENO")</f>
        <v>MUNICIPALIDAD DISTRITAL DE JESUS NAZARENO</v>
      </c>
      <c r="D461" s="25" t="str">
        <f ca="1">IFERROR(__xludf.DUMMYFUNCTION("""COMPUTED_VALUE"""),"ICA")</f>
        <v>ICA</v>
      </c>
      <c r="E461" s="25" t="str">
        <f ca="1">IFERROR(__xludf.DUMMYFUNCTION("""COMPUTED_VALUE"""),"AYACUCHO")</f>
        <v>AYACUCHO</v>
      </c>
      <c r="F461" s="25" t="str">
        <f ca="1">IFERROR(__xludf.DUMMYFUNCTION("""COMPUTED_VALUE"""),"HUAMANGA")</f>
        <v>HUAMANGA</v>
      </c>
      <c r="G461" s="25" t="str">
        <f ca="1">IFERROR(__xludf.DUMMYFUNCTION("""COMPUTED_VALUE"""),"JESUS NAZARENO")</f>
        <v>JESUS NAZARENO</v>
      </c>
      <c r="H461" s="25" t="str">
        <f ca="1">IFERROR(__xludf.DUMMYFUNCTION("""COMPUTED_VALUE"""),"URBANO")</f>
        <v>URBANO</v>
      </c>
      <c r="I461" s="25" t="str">
        <f ca="1">IFERROR(__xludf.DUMMYFUNCTION("""COMPUTED_VALUE"""),"Prioridad 1")</f>
        <v>Prioridad 1</v>
      </c>
      <c r="J461" s="43" t="s">
        <v>262</v>
      </c>
    </row>
    <row r="462" spans="2:10">
      <c r="B462" s="25" t="str">
        <f ca="1">IFERROR(__xludf.DUMMYFUNCTION("""COMPUTED_VALUE"""),"MUNICIPALIDAD DISTRITAL")</f>
        <v>MUNICIPALIDAD DISTRITAL</v>
      </c>
      <c r="C462" s="25" t="str">
        <f ca="1">IFERROR(__xludf.DUMMYFUNCTION("""COMPUTED_VALUE"""),"MUNICIPALIDAD DISTRITAL DE OCROS")</f>
        <v>MUNICIPALIDAD DISTRITAL DE OCROS</v>
      </c>
      <c r="D462" s="25" t="str">
        <f ca="1">IFERROR(__xludf.DUMMYFUNCTION("""COMPUTED_VALUE"""),"ICA")</f>
        <v>ICA</v>
      </c>
      <c r="E462" s="25" t="str">
        <f ca="1">IFERROR(__xludf.DUMMYFUNCTION("""COMPUTED_VALUE"""),"AYACUCHO")</f>
        <v>AYACUCHO</v>
      </c>
      <c r="F462" s="25" t="str">
        <f ca="1">IFERROR(__xludf.DUMMYFUNCTION("""COMPUTED_VALUE"""),"HUAMANGA")</f>
        <v>HUAMANGA</v>
      </c>
      <c r="G462" s="25" t="str">
        <f ca="1">IFERROR(__xludf.DUMMYFUNCTION("""COMPUTED_VALUE"""),"OCROS")</f>
        <v>OCROS</v>
      </c>
      <c r="H462" s="25" t="str">
        <f ca="1">IFERROR(__xludf.DUMMYFUNCTION("""COMPUTED_VALUE"""),"RURAL")</f>
        <v>RURAL</v>
      </c>
      <c r="I462" s="25" t="str">
        <f ca="1">IFERROR(__xludf.DUMMYFUNCTION("""COMPUTED_VALUE"""),"Prioridad 5")</f>
        <v>Prioridad 5</v>
      </c>
      <c r="J462" s="43" t="s">
        <v>262</v>
      </c>
    </row>
    <row r="463" spans="2:10">
      <c r="B463" s="25" t="str">
        <f ca="1">IFERROR(__xludf.DUMMYFUNCTION("""COMPUTED_VALUE"""),"MUNICIPALIDAD DISTRITAL")</f>
        <v>MUNICIPALIDAD DISTRITAL</v>
      </c>
      <c r="C463" s="25" t="str">
        <f ca="1">IFERROR(__xludf.DUMMYFUNCTION("""COMPUTED_VALUE"""),"MUNICIPALIDAD DISTRITAL DE PACAYCASA")</f>
        <v>MUNICIPALIDAD DISTRITAL DE PACAYCASA</v>
      </c>
      <c r="D463" s="25" t="str">
        <f ca="1">IFERROR(__xludf.DUMMYFUNCTION("""COMPUTED_VALUE"""),"ICA")</f>
        <v>ICA</v>
      </c>
      <c r="E463" s="25" t="str">
        <f ca="1">IFERROR(__xludf.DUMMYFUNCTION("""COMPUTED_VALUE"""),"AYACUCHO")</f>
        <v>AYACUCHO</v>
      </c>
      <c r="F463" s="25" t="str">
        <f ca="1">IFERROR(__xludf.DUMMYFUNCTION("""COMPUTED_VALUE"""),"HUAMANGA")</f>
        <v>HUAMANGA</v>
      </c>
      <c r="G463" s="25" t="str">
        <f ca="1">IFERROR(__xludf.DUMMYFUNCTION("""COMPUTED_VALUE"""),"PACAYCASA")</f>
        <v>PACAYCASA</v>
      </c>
      <c r="H463" s="25" t="str">
        <f ca="1">IFERROR(__xludf.DUMMYFUNCTION("""COMPUTED_VALUE"""),"RURAL")</f>
        <v>RURAL</v>
      </c>
      <c r="I463" s="25" t="str">
        <f ca="1">IFERROR(__xludf.DUMMYFUNCTION("""COMPUTED_VALUE"""),"Prioridad 3")</f>
        <v>Prioridad 3</v>
      </c>
      <c r="J463" s="43" t="s">
        <v>262</v>
      </c>
    </row>
    <row r="464" spans="2:10">
      <c r="B464" s="25" t="str">
        <f ca="1">IFERROR(__xludf.DUMMYFUNCTION("""COMPUTED_VALUE"""),"MUNICIPALIDAD DISTRITAL")</f>
        <v>MUNICIPALIDAD DISTRITAL</v>
      </c>
      <c r="C464" s="25" t="str">
        <f ca="1">IFERROR(__xludf.DUMMYFUNCTION("""COMPUTED_VALUE"""),"MUNICIPALIDAD DISTRITAL DE QUINUA")</f>
        <v>MUNICIPALIDAD DISTRITAL DE QUINUA</v>
      </c>
      <c r="D464" s="25" t="str">
        <f ca="1">IFERROR(__xludf.DUMMYFUNCTION("""COMPUTED_VALUE"""),"ICA")</f>
        <v>ICA</v>
      </c>
      <c r="E464" s="25" t="str">
        <f ca="1">IFERROR(__xludf.DUMMYFUNCTION("""COMPUTED_VALUE"""),"AYACUCHO")</f>
        <v>AYACUCHO</v>
      </c>
      <c r="F464" s="25" t="str">
        <f ca="1">IFERROR(__xludf.DUMMYFUNCTION("""COMPUTED_VALUE"""),"HUAMANGA")</f>
        <v>HUAMANGA</v>
      </c>
      <c r="G464" s="25" t="str">
        <f ca="1">IFERROR(__xludf.DUMMYFUNCTION("""COMPUTED_VALUE"""),"QUINUA")</f>
        <v>QUINUA</v>
      </c>
      <c r="H464" s="25" t="str">
        <f ca="1">IFERROR(__xludf.DUMMYFUNCTION("""COMPUTED_VALUE"""),"RURAL")</f>
        <v>RURAL</v>
      </c>
      <c r="I464" s="25" t="str">
        <f ca="1">IFERROR(__xludf.DUMMYFUNCTION("""COMPUTED_VALUE"""),"Prioridad 3")</f>
        <v>Prioridad 3</v>
      </c>
      <c r="J464" s="43" t="s">
        <v>262</v>
      </c>
    </row>
    <row r="465" spans="2:10">
      <c r="B465" s="25" t="str">
        <f ca="1">IFERROR(__xludf.DUMMYFUNCTION("""COMPUTED_VALUE"""),"MUNICIPALIDAD DISTRITAL")</f>
        <v>MUNICIPALIDAD DISTRITAL</v>
      </c>
      <c r="C465" s="25" t="str">
        <f ca="1">IFERROR(__xludf.DUMMYFUNCTION("""COMPUTED_VALUE"""),"MUNICIPALIDAD DISTRITAL DE SAN JOSE DE TICLLAS")</f>
        <v>MUNICIPALIDAD DISTRITAL DE SAN JOSE DE TICLLAS</v>
      </c>
      <c r="D465" s="25" t="str">
        <f ca="1">IFERROR(__xludf.DUMMYFUNCTION("""COMPUTED_VALUE"""),"ICA")</f>
        <v>ICA</v>
      </c>
      <c r="E465" s="25" t="str">
        <f ca="1">IFERROR(__xludf.DUMMYFUNCTION("""COMPUTED_VALUE"""),"AYACUCHO")</f>
        <v>AYACUCHO</v>
      </c>
      <c r="F465" s="25" t="str">
        <f ca="1">IFERROR(__xludf.DUMMYFUNCTION("""COMPUTED_VALUE"""),"HUAMANGA")</f>
        <v>HUAMANGA</v>
      </c>
      <c r="G465" s="25" t="str">
        <f ca="1">IFERROR(__xludf.DUMMYFUNCTION("""COMPUTED_VALUE"""),"SAN JOSE DE TICLLAS")</f>
        <v>SAN JOSE DE TICLLAS</v>
      </c>
      <c r="H465" s="25" t="str">
        <f ca="1">IFERROR(__xludf.DUMMYFUNCTION("""COMPUTED_VALUE"""),"RURAL")</f>
        <v>RURAL</v>
      </c>
      <c r="I465" s="25" t="str">
        <f ca="1">IFERROR(__xludf.DUMMYFUNCTION("""COMPUTED_VALUE"""),"Prioridad 4")</f>
        <v>Prioridad 4</v>
      </c>
      <c r="J465" s="43" t="s">
        <v>262</v>
      </c>
    </row>
    <row r="466" spans="2:10">
      <c r="B466" s="25" t="str">
        <f ca="1">IFERROR(__xludf.DUMMYFUNCTION("""COMPUTED_VALUE"""),"MUNICIPALIDAD DISTRITAL")</f>
        <v>MUNICIPALIDAD DISTRITAL</v>
      </c>
      <c r="C466" s="25" t="str">
        <f ca="1">IFERROR(__xludf.DUMMYFUNCTION("""COMPUTED_VALUE"""),"MUNICIPALIDAD DISTRITAL DE SAN JUAN BAUTISTA EN HUAMANGA")</f>
        <v>MUNICIPALIDAD DISTRITAL DE SAN JUAN BAUTISTA EN HUAMANGA</v>
      </c>
      <c r="D466" s="25" t="str">
        <f ca="1">IFERROR(__xludf.DUMMYFUNCTION("""COMPUTED_VALUE"""),"ICA")</f>
        <v>ICA</v>
      </c>
      <c r="E466" s="25" t="str">
        <f ca="1">IFERROR(__xludf.DUMMYFUNCTION("""COMPUTED_VALUE"""),"AYACUCHO")</f>
        <v>AYACUCHO</v>
      </c>
      <c r="F466" s="25" t="str">
        <f ca="1">IFERROR(__xludf.DUMMYFUNCTION("""COMPUTED_VALUE"""),"HUAMANGA")</f>
        <v>HUAMANGA</v>
      </c>
      <c r="G466" s="25" t="str">
        <f ca="1">IFERROR(__xludf.DUMMYFUNCTION("""COMPUTED_VALUE"""),"SAN JUAN BAUTISTA")</f>
        <v>SAN JUAN BAUTISTA</v>
      </c>
      <c r="H466" s="25" t="str">
        <f ca="1">IFERROR(__xludf.DUMMYFUNCTION("""COMPUTED_VALUE"""),"URBANO")</f>
        <v>URBANO</v>
      </c>
      <c r="I466" s="25" t="str">
        <f ca="1">IFERROR(__xludf.DUMMYFUNCTION("""COMPUTED_VALUE"""),"Prioridad 1")</f>
        <v>Prioridad 1</v>
      </c>
      <c r="J466" s="43" t="s">
        <v>262</v>
      </c>
    </row>
    <row r="467" spans="2:10">
      <c r="B467" s="25" t="str">
        <f ca="1">IFERROR(__xludf.DUMMYFUNCTION("""COMPUTED_VALUE"""),"MUNICIPALIDAD DISTRITAL")</f>
        <v>MUNICIPALIDAD DISTRITAL</v>
      </c>
      <c r="C467" s="25" t="str">
        <f ca="1">IFERROR(__xludf.DUMMYFUNCTION("""COMPUTED_VALUE"""),"MUNICIPALIDAD DISTRITAL DE SANTIAGO DE PISCHA")</f>
        <v>MUNICIPALIDAD DISTRITAL DE SANTIAGO DE PISCHA</v>
      </c>
      <c r="D467" s="25" t="str">
        <f ca="1">IFERROR(__xludf.DUMMYFUNCTION("""COMPUTED_VALUE"""),"ICA")</f>
        <v>ICA</v>
      </c>
      <c r="E467" s="25" t="str">
        <f ca="1">IFERROR(__xludf.DUMMYFUNCTION("""COMPUTED_VALUE"""),"AYACUCHO")</f>
        <v>AYACUCHO</v>
      </c>
      <c r="F467" s="25" t="str">
        <f ca="1">IFERROR(__xludf.DUMMYFUNCTION("""COMPUTED_VALUE"""),"HUAMANGA")</f>
        <v>HUAMANGA</v>
      </c>
      <c r="G467" s="25" t="str">
        <f ca="1">IFERROR(__xludf.DUMMYFUNCTION("""COMPUTED_VALUE"""),"SANTIAGO DE PISCHA")</f>
        <v>SANTIAGO DE PISCHA</v>
      </c>
      <c r="H467" s="25" t="str">
        <f ca="1">IFERROR(__xludf.DUMMYFUNCTION("""COMPUTED_VALUE"""),"RURAL")</f>
        <v>RURAL</v>
      </c>
      <c r="I467" s="25" t="str">
        <f ca="1">IFERROR(__xludf.DUMMYFUNCTION("""COMPUTED_VALUE"""),"Prioridad 5")</f>
        <v>Prioridad 5</v>
      </c>
      <c r="J467" s="43" t="s">
        <v>262</v>
      </c>
    </row>
    <row r="468" spans="2:10">
      <c r="B468" s="25" t="str">
        <f ca="1">IFERROR(__xludf.DUMMYFUNCTION("""COMPUTED_VALUE"""),"MUNICIPALIDAD DISTRITAL")</f>
        <v>MUNICIPALIDAD DISTRITAL</v>
      </c>
      <c r="C468" s="25" t="str">
        <f ca="1">IFERROR(__xludf.DUMMYFUNCTION("""COMPUTED_VALUE"""),"MUNICIPALIDAD DISTRITAL DE SOCOS")</f>
        <v>MUNICIPALIDAD DISTRITAL DE SOCOS</v>
      </c>
      <c r="D468" s="25" t="str">
        <f ca="1">IFERROR(__xludf.DUMMYFUNCTION("""COMPUTED_VALUE"""),"ICA")</f>
        <v>ICA</v>
      </c>
      <c r="E468" s="25" t="str">
        <f ca="1">IFERROR(__xludf.DUMMYFUNCTION("""COMPUTED_VALUE"""),"AYACUCHO")</f>
        <v>AYACUCHO</v>
      </c>
      <c r="F468" s="25" t="str">
        <f ca="1">IFERROR(__xludf.DUMMYFUNCTION("""COMPUTED_VALUE"""),"HUAMANGA")</f>
        <v>HUAMANGA</v>
      </c>
      <c r="G468" s="25" t="str">
        <f ca="1">IFERROR(__xludf.DUMMYFUNCTION("""COMPUTED_VALUE"""),"SOCOS")</f>
        <v>SOCOS</v>
      </c>
      <c r="H468" s="25" t="str">
        <f ca="1">IFERROR(__xludf.DUMMYFUNCTION("""COMPUTED_VALUE"""),"RURAL")</f>
        <v>RURAL</v>
      </c>
      <c r="I468" s="25" t="str">
        <f ca="1">IFERROR(__xludf.DUMMYFUNCTION("""COMPUTED_VALUE"""),"Prioridad 5")</f>
        <v>Prioridad 5</v>
      </c>
      <c r="J468" s="43" t="s">
        <v>262</v>
      </c>
    </row>
    <row r="469" spans="2:10">
      <c r="B469" s="25" t="str">
        <f ca="1">IFERROR(__xludf.DUMMYFUNCTION("""COMPUTED_VALUE"""),"MUNICIPALIDAD DISTRITAL")</f>
        <v>MUNICIPALIDAD DISTRITAL</v>
      </c>
      <c r="C469" s="25" t="str">
        <f ca="1">IFERROR(__xludf.DUMMYFUNCTION("""COMPUTED_VALUE"""),"MUNICIPALIDAD DISTRITAL DE TAMBILLO")</f>
        <v>MUNICIPALIDAD DISTRITAL DE TAMBILLO</v>
      </c>
      <c r="D469" s="25" t="str">
        <f ca="1">IFERROR(__xludf.DUMMYFUNCTION("""COMPUTED_VALUE"""),"ICA")</f>
        <v>ICA</v>
      </c>
      <c r="E469" s="25" t="str">
        <f ca="1">IFERROR(__xludf.DUMMYFUNCTION("""COMPUTED_VALUE"""),"AYACUCHO")</f>
        <v>AYACUCHO</v>
      </c>
      <c r="F469" s="25" t="str">
        <f ca="1">IFERROR(__xludf.DUMMYFUNCTION("""COMPUTED_VALUE"""),"HUAMANGA")</f>
        <v>HUAMANGA</v>
      </c>
      <c r="G469" s="25" t="str">
        <f ca="1">IFERROR(__xludf.DUMMYFUNCTION("""COMPUTED_VALUE"""),"TAMBILLO")</f>
        <v>TAMBILLO</v>
      </c>
      <c r="H469" s="25" t="str">
        <f ca="1">IFERROR(__xludf.DUMMYFUNCTION("""COMPUTED_VALUE"""),"RURAL")</f>
        <v>RURAL</v>
      </c>
      <c r="I469" s="25" t="str">
        <f ca="1">IFERROR(__xludf.DUMMYFUNCTION("""COMPUTED_VALUE"""),"Prioridad 5")</f>
        <v>Prioridad 5</v>
      </c>
      <c r="J469" s="43" t="s">
        <v>262</v>
      </c>
    </row>
    <row r="470" spans="2:10">
      <c r="B470" s="25" t="str">
        <f ca="1">IFERROR(__xludf.DUMMYFUNCTION("""COMPUTED_VALUE"""),"MUNICIPALIDAD DISTRITAL")</f>
        <v>MUNICIPALIDAD DISTRITAL</v>
      </c>
      <c r="C470" s="25" t="str">
        <f ca="1">IFERROR(__xludf.DUMMYFUNCTION("""COMPUTED_VALUE"""),"MUNICIPALIDAD DISTRITAL DE VINCHOS")</f>
        <v>MUNICIPALIDAD DISTRITAL DE VINCHOS</v>
      </c>
      <c r="D470" s="25" t="str">
        <f ca="1">IFERROR(__xludf.DUMMYFUNCTION("""COMPUTED_VALUE"""),"ICA")</f>
        <v>ICA</v>
      </c>
      <c r="E470" s="25" t="str">
        <f ca="1">IFERROR(__xludf.DUMMYFUNCTION("""COMPUTED_VALUE"""),"AYACUCHO")</f>
        <v>AYACUCHO</v>
      </c>
      <c r="F470" s="25" t="str">
        <f ca="1">IFERROR(__xludf.DUMMYFUNCTION("""COMPUTED_VALUE"""),"HUAMANGA")</f>
        <v>HUAMANGA</v>
      </c>
      <c r="G470" s="25" t="str">
        <f ca="1">IFERROR(__xludf.DUMMYFUNCTION("""COMPUTED_VALUE"""),"VINCHOS")</f>
        <v>VINCHOS</v>
      </c>
      <c r="H470" s="25" t="str">
        <f ca="1">IFERROR(__xludf.DUMMYFUNCTION("""COMPUTED_VALUE"""),"RURAL")</f>
        <v>RURAL</v>
      </c>
      <c r="I470" s="25" t="str">
        <f ca="1">IFERROR(__xludf.DUMMYFUNCTION("""COMPUTED_VALUE"""),"Prioridad 5")</f>
        <v>Prioridad 5</v>
      </c>
      <c r="J470" s="43" t="s">
        <v>262</v>
      </c>
    </row>
    <row r="471" spans="2:10">
      <c r="B471" s="25" t="str">
        <f ca="1">IFERROR(__xludf.DUMMYFUNCTION("""COMPUTED_VALUE"""),"GOBIERNO REGIONAL")</f>
        <v>GOBIERNO REGIONAL</v>
      </c>
      <c r="C471" s="25" t="str">
        <f ca="1">IFERROR(__xludf.DUMMYFUNCTION("""COMPUTED_VALUE"""),"GOBIERNO REGIONAL DE AYACUCHO")</f>
        <v>GOBIERNO REGIONAL DE AYACUCHO</v>
      </c>
      <c r="D471" s="25" t="str">
        <f ca="1">IFERROR(__xludf.DUMMYFUNCTION("""COMPUTED_VALUE"""),"ICA")</f>
        <v>ICA</v>
      </c>
      <c r="E471" s="25" t="str">
        <f ca="1">IFERROR(__xludf.DUMMYFUNCTION("""COMPUTED_VALUE"""),"AYACUCHO")</f>
        <v>AYACUCHO</v>
      </c>
      <c r="F471" s="25" t="str">
        <f ca="1">IFERROR(__xludf.DUMMYFUNCTION("""COMPUTED_VALUE"""),"HUAMANGA")</f>
        <v>HUAMANGA</v>
      </c>
      <c r="G471" s="25" t="str">
        <f ca="1">IFERROR(__xludf.DUMMYFUNCTION("""COMPUTED_VALUE"""),"AYACUCHO")</f>
        <v>AYACUCHO</v>
      </c>
      <c r="H471" s="25" t="str">
        <f ca="1">IFERROR(__xludf.DUMMYFUNCTION("""COMPUTED_VALUE"""),"URBANO")</f>
        <v>URBANO</v>
      </c>
      <c r="I471" s="25" t="str">
        <f ca="1">IFERROR(__xludf.DUMMYFUNCTION("""COMPUTED_VALUE"""),"Prioridad 1")</f>
        <v>Prioridad 1</v>
      </c>
      <c r="J471" s="43" t="s">
        <v>262</v>
      </c>
    </row>
    <row r="472" spans="2:10">
      <c r="B472" s="25" t="str">
        <f ca="1">IFERROR(__xludf.DUMMYFUNCTION("""COMPUTED_VALUE"""),"OTROS")</f>
        <v>OTROS</v>
      </c>
      <c r="C472" s="25" t="str">
        <f ca="1">IFERROR(__xludf.DUMMYFUNCTION("""COMPUTED_VALUE"""),"CONSERVATORIO REGIONAL DE MÚSICA LUIS DUNCKER LAVALLE")</f>
        <v>CONSERVATORIO REGIONAL DE MÚSICA LUIS DUNCKER LAVALLE</v>
      </c>
      <c r="D472" s="25" t="str">
        <f ca="1">IFERROR(__xludf.DUMMYFUNCTION("""COMPUTED_VALUE"""),"AREQUIPA")</f>
        <v>AREQUIPA</v>
      </c>
      <c r="E472" s="25" t="str">
        <f ca="1">IFERROR(__xludf.DUMMYFUNCTION("""COMPUTED_VALUE"""),"AREQUIPA")</f>
        <v>AREQUIPA</v>
      </c>
      <c r="F472" s="25" t="str">
        <f ca="1">IFERROR(__xludf.DUMMYFUNCTION("""COMPUTED_VALUE"""),"AREQUIPA")</f>
        <v>AREQUIPA</v>
      </c>
      <c r="G472" s="25" t="str">
        <f ca="1">IFERROR(__xludf.DUMMYFUNCTION("""COMPUTED_VALUE"""),"CERRO COLORADO")</f>
        <v>CERRO COLORADO</v>
      </c>
      <c r="H472" s="25"/>
      <c r="I472" s="25" t="str">
        <f ca="1">IFERROR(__xludf.DUMMYFUNCTION("""COMPUTED_VALUE"""),"No aplica")</f>
        <v>No aplica</v>
      </c>
      <c r="J472" s="43" t="s">
        <v>262</v>
      </c>
    </row>
    <row r="473" spans="2:10">
      <c r="B473" s="25" t="str">
        <f ca="1">IFERROR(__xludf.DUMMYFUNCTION("""COMPUTED_VALUE"""),"OTROS")</f>
        <v>OTROS</v>
      </c>
      <c r="C473" s="25" t="str">
        <f ca="1">IFERROR(__xludf.DUMMYFUNCTION("""COMPUTED_VALUE"""),"ESCUELA NACIONAL DE ARTE CARLOS BACA FLOR DE AREQUIPA")</f>
        <v>ESCUELA NACIONAL DE ARTE CARLOS BACA FLOR DE AREQUIPA</v>
      </c>
      <c r="D473" s="25" t="str">
        <f ca="1">IFERROR(__xludf.DUMMYFUNCTION("""COMPUTED_VALUE"""),"AREQUIPA")</f>
        <v>AREQUIPA</v>
      </c>
      <c r="E473" s="25" t="str">
        <f ca="1">IFERROR(__xludf.DUMMYFUNCTION("""COMPUTED_VALUE"""),"AREQUIPA")</f>
        <v>AREQUIPA</v>
      </c>
      <c r="F473" s="25" t="str">
        <f ca="1">IFERROR(__xludf.DUMMYFUNCTION("""COMPUTED_VALUE"""),"AREQUIPA")</f>
        <v>AREQUIPA</v>
      </c>
      <c r="G473" s="25" t="str">
        <f ca="1">IFERROR(__xludf.DUMMYFUNCTION("""COMPUTED_VALUE"""),"AREQUIPA ")</f>
        <v xml:space="preserve">AREQUIPA </v>
      </c>
      <c r="H473" s="25"/>
      <c r="I473" s="25" t="str">
        <f ca="1">IFERROR(__xludf.DUMMYFUNCTION("""COMPUTED_VALUE"""),"No aplica")</f>
        <v>No aplica</v>
      </c>
      <c r="J473" s="43" t="s">
        <v>262</v>
      </c>
    </row>
    <row r="474" spans="2:10">
      <c r="B474" s="25" t="str">
        <f ca="1">IFERROR(__xludf.DUMMYFUNCTION("""COMPUTED_VALUE"""),"MUNICIPALIDAD DISTRITAL")</f>
        <v>MUNICIPALIDAD DISTRITAL</v>
      </c>
      <c r="C474" s="25" t="str">
        <f ca="1">IFERROR(__xludf.DUMMYFUNCTION("""COMPUTED_VALUE"""),"MUNICIPALIDAD DISTRITAL DE CARAPO")</f>
        <v>MUNICIPALIDAD DISTRITAL DE CARAPO</v>
      </c>
      <c r="D474" s="25" t="str">
        <f ca="1">IFERROR(__xludf.DUMMYFUNCTION("""COMPUTED_VALUE"""),"ICA")</f>
        <v>ICA</v>
      </c>
      <c r="E474" s="25" t="str">
        <f ca="1">IFERROR(__xludf.DUMMYFUNCTION("""COMPUTED_VALUE"""),"AYACUCHO")</f>
        <v>AYACUCHO</v>
      </c>
      <c r="F474" s="25" t="str">
        <f ca="1">IFERROR(__xludf.DUMMYFUNCTION("""COMPUTED_VALUE"""),"HUANCA SANCOS")</f>
        <v>HUANCA SANCOS</v>
      </c>
      <c r="G474" s="25" t="str">
        <f ca="1">IFERROR(__xludf.DUMMYFUNCTION("""COMPUTED_VALUE"""),"CARAPO")</f>
        <v>CARAPO</v>
      </c>
      <c r="H474" s="25" t="str">
        <f ca="1">IFERROR(__xludf.DUMMYFUNCTION("""COMPUTED_VALUE"""),"RURAL")</f>
        <v>RURAL</v>
      </c>
      <c r="I474" s="25" t="str">
        <f ca="1">IFERROR(__xludf.DUMMYFUNCTION("""COMPUTED_VALUE"""),"Prioridad 4")</f>
        <v>Prioridad 4</v>
      </c>
      <c r="J474" s="43" t="s">
        <v>262</v>
      </c>
    </row>
    <row r="475" spans="2:10">
      <c r="B475" s="25" t="str">
        <f ca="1">IFERROR(__xludf.DUMMYFUNCTION("""COMPUTED_VALUE"""),"MUNICIPALIDAD DISTRITAL")</f>
        <v>MUNICIPALIDAD DISTRITAL</v>
      </c>
      <c r="C475" s="25" t="str">
        <f ca="1">IFERROR(__xludf.DUMMYFUNCTION("""COMPUTED_VALUE"""),"MUNICIPALIDAD DISTRITAL DE SACSAMARCA")</f>
        <v>MUNICIPALIDAD DISTRITAL DE SACSAMARCA</v>
      </c>
      <c r="D475" s="25" t="str">
        <f ca="1">IFERROR(__xludf.DUMMYFUNCTION("""COMPUTED_VALUE"""),"ICA")</f>
        <v>ICA</v>
      </c>
      <c r="E475" s="25" t="str">
        <f ca="1">IFERROR(__xludf.DUMMYFUNCTION("""COMPUTED_VALUE"""),"AYACUCHO")</f>
        <v>AYACUCHO</v>
      </c>
      <c r="F475" s="25" t="str">
        <f ca="1">IFERROR(__xludf.DUMMYFUNCTION("""COMPUTED_VALUE"""),"HUANCA SANCOS")</f>
        <v>HUANCA SANCOS</v>
      </c>
      <c r="G475" s="25" t="str">
        <f ca="1">IFERROR(__xludf.DUMMYFUNCTION("""COMPUTED_VALUE"""),"SACSAMARCA")</f>
        <v>SACSAMARCA</v>
      </c>
      <c r="H475" s="25" t="str">
        <f ca="1">IFERROR(__xludf.DUMMYFUNCTION("""COMPUTED_VALUE"""),"RURAL")</f>
        <v>RURAL</v>
      </c>
      <c r="I475" s="25" t="str">
        <f ca="1">IFERROR(__xludf.DUMMYFUNCTION("""COMPUTED_VALUE"""),"Prioridad 3")</f>
        <v>Prioridad 3</v>
      </c>
      <c r="J475" s="43" t="s">
        <v>262</v>
      </c>
    </row>
    <row r="476" spans="2:10">
      <c r="B476" s="25" t="str">
        <f ca="1">IFERROR(__xludf.DUMMYFUNCTION("""COMPUTED_VALUE"""),"MUNICIPALIDAD PROVINCIAL")</f>
        <v>MUNICIPALIDAD PROVINCIAL</v>
      </c>
      <c r="C476" s="25" t="str">
        <f ca="1">IFERROR(__xludf.DUMMYFUNCTION("""COMPUTED_VALUE"""),"MUNICIPALIDAD PROVINCIAL DE HUANCA SANCOS")</f>
        <v>MUNICIPALIDAD PROVINCIAL DE HUANCA SANCOS</v>
      </c>
      <c r="D476" s="25" t="str">
        <f ca="1">IFERROR(__xludf.DUMMYFUNCTION("""COMPUTED_VALUE"""),"ICA")</f>
        <v>ICA</v>
      </c>
      <c r="E476" s="25" t="str">
        <f ca="1">IFERROR(__xludf.DUMMYFUNCTION("""COMPUTED_VALUE"""),"AYACUCHO")</f>
        <v>AYACUCHO</v>
      </c>
      <c r="F476" s="25" t="str">
        <f ca="1">IFERROR(__xludf.DUMMYFUNCTION("""COMPUTED_VALUE"""),"HUANCA SANCOS")</f>
        <v>HUANCA SANCOS</v>
      </c>
      <c r="G476" s="25" t="str">
        <f ca="1">IFERROR(__xludf.DUMMYFUNCTION("""COMPUTED_VALUE"""),"SANCOS")</f>
        <v>SANCOS</v>
      </c>
      <c r="H476" s="25" t="str">
        <f ca="1">IFERROR(__xludf.DUMMYFUNCTION("""COMPUTED_VALUE"""),"URBANO")</f>
        <v>URBANO</v>
      </c>
      <c r="I476" s="25" t="str">
        <f ca="1">IFERROR(__xludf.DUMMYFUNCTION("""COMPUTED_VALUE"""),"Prioridad 2")</f>
        <v>Prioridad 2</v>
      </c>
      <c r="J476" s="43" t="s">
        <v>262</v>
      </c>
    </row>
    <row r="477" spans="2:10">
      <c r="B477" s="25" t="str">
        <f ca="1">IFERROR(__xludf.DUMMYFUNCTION("""COMPUTED_VALUE"""),"MUNICIPALIDAD DISTRITAL")</f>
        <v>MUNICIPALIDAD DISTRITAL</v>
      </c>
      <c r="C477" s="25" t="str">
        <f ca="1">IFERROR(__xludf.DUMMYFUNCTION("""COMPUTED_VALUE"""),"MUNICIPALIDAD DISTRITAL DE SANTIAGO DE LUCANAMARCA")</f>
        <v>MUNICIPALIDAD DISTRITAL DE SANTIAGO DE LUCANAMARCA</v>
      </c>
      <c r="D477" s="25" t="str">
        <f ca="1">IFERROR(__xludf.DUMMYFUNCTION("""COMPUTED_VALUE"""),"ICA")</f>
        <v>ICA</v>
      </c>
      <c r="E477" s="25" t="str">
        <f ca="1">IFERROR(__xludf.DUMMYFUNCTION("""COMPUTED_VALUE"""),"AYACUCHO")</f>
        <v>AYACUCHO</v>
      </c>
      <c r="F477" s="25" t="str">
        <f ca="1">IFERROR(__xludf.DUMMYFUNCTION("""COMPUTED_VALUE"""),"HUANCA SANCOS")</f>
        <v>HUANCA SANCOS</v>
      </c>
      <c r="G477" s="25" t="str">
        <f ca="1">IFERROR(__xludf.DUMMYFUNCTION("""COMPUTED_VALUE"""),"SANTIAGO DE LUCANAMARCA")</f>
        <v>SANTIAGO DE LUCANAMARCA</v>
      </c>
      <c r="H477" s="25" t="str">
        <f ca="1">IFERROR(__xludf.DUMMYFUNCTION("""COMPUTED_VALUE"""),"RURAL")</f>
        <v>RURAL</v>
      </c>
      <c r="I477" s="25" t="str">
        <f ca="1">IFERROR(__xludf.DUMMYFUNCTION("""COMPUTED_VALUE"""),"Prioridad 5")</f>
        <v>Prioridad 5</v>
      </c>
      <c r="J477" s="43" t="s">
        <v>262</v>
      </c>
    </row>
    <row r="478" spans="2:10">
      <c r="B478" s="25" t="str">
        <f ca="1">IFERROR(__xludf.DUMMYFUNCTION("""COMPUTED_VALUE"""),"MUNICIPALIDAD PROVINCIAL")</f>
        <v>MUNICIPALIDAD PROVINCIAL</v>
      </c>
      <c r="C478" s="25" t="str">
        <f ca="1">IFERROR(__xludf.DUMMYFUNCTION("""COMPUTED_VALUE"""),"MUNICIPALIDAD PROVINCIAL DE HUANTA")</f>
        <v>MUNICIPALIDAD PROVINCIAL DE HUANTA</v>
      </c>
      <c r="D478" s="25" t="str">
        <f ca="1">IFERROR(__xludf.DUMMYFUNCTION("""COMPUTED_VALUE"""),"ICA")</f>
        <v>ICA</v>
      </c>
      <c r="E478" s="25" t="str">
        <f ca="1">IFERROR(__xludf.DUMMYFUNCTION("""COMPUTED_VALUE"""),"AYACUCHO")</f>
        <v>AYACUCHO</v>
      </c>
      <c r="F478" s="25" t="str">
        <f ca="1">IFERROR(__xludf.DUMMYFUNCTION("""COMPUTED_VALUE"""),"HUANTA")</f>
        <v>HUANTA</v>
      </c>
      <c r="G478" s="25" t="str">
        <f ca="1">IFERROR(__xludf.DUMMYFUNCTION("""COMPUTED_VALUE"""),"HUANTA")</f>
        <v>HUANTA</v>
      </c>
      <c r="H478" s="25" t="str">
        <f ca="1">IFERROR(__xludf.DUMMYFUNCTION("""COMPUTED_VALUE"""),"URBANO")</f>
        <v>URBANO</v>
      </c>
      <c r="I478" s="25" t="str">
        <f ca="1">IFERROR(__xludf.DUMMYFUNCTION("""COMPUTED_VALUE"""),"Prioridad 1")</f>
        <v>Prioridad 1</v>
      </c>
      <c r="J478" s="43" t="s">
        <v>262</v>
      </c>
    </row>
    <row r="479" spans="2:10">
      <c r="B479" s="25" t="str">
        <f ca="1">IFERROR(__xludf.DUMMYFUNCTION("""COMPUTED_VALUE"""),"MUNICIPALIDAD DISTRITAL")</f>
        <v>MUNICIPALIDAD DISTRITAL</v>
      </c>
      <c r="C479" s="25" t="str">
        <f ca="1">IFERROR(__xludf.DUMMYFUNCTION("""COMPUTED_VALUE"""),"MUNICIPALIDAD DISTRITAL DE AYAHUANCO")</f>
        <v>MUNICIPALIDAD DISTRITAL DE AYAHUANCO</v>
      </c>
      <c r="D479" s="25" t="str">
        <f ca="1">IFERROR(__xludf.DUMMYFUNCTION("""COMPUTED_VALUE"""),"ICA")</f>
        <v>ICA</v>
      </c>
      <c r="E479" s="25" t="str">
        <f ca="1">IFERROR(__xludf.DUMMYFUNCTION("""COMPUTED_VALUE"""),"AYACUCHO")</f>
        <v>AYACUCHO</v>
      </c>
      <c r="F479" s="25" t="str">
        <f ca="1">IFERROR(__xludf.DUMMYFUNCTION("""COMPUTED_VALUE"""),"HUANTA")</f>
        <v>HUANTA</v>
      </c>
      <c r="G479" s="25" t="str">
        <f ca="1">IFERROR(__xludf.DUMMYFUNCTION("""COMPUTED_VALUE"""),"AYAHUANCO")</f>
        <v>AYAHUANCO</v>
      </c>
      <c r="H479" s="25" t="str">
        <f ca="1">IFERROR(__xludf.DUMMYFUNCTION("""COMPUTED_VALUE"""),"RURAL")</f>
        <v>RURAL</v>
      </c>
      <c r="I479" s="25" t="str">
        <f ca="1">IFERROR(__xludf.DUMMYFUNCTION("""COMPUTED_VALUE"""),"Prioridad 5")</f>
        <v>Prioridad 5</v>
      </c>
      <c r="J479" s="43" t="s">
        <v>262</v>
      </c>
    </row>
    <row r="480" spans="2:10">
      <c r="B480" s="25" t="str">
        <f ca="1">IFERROR(__xludf.DUMMYFUNCTION("""COMPUTED_VALUE"""),"MUNICIPALIDAD DISTRITAL")</f>
        <v>MUNICIPALIDAD DISTRITAL</v>
      </c>
      <c r="C480" s="25" t="str">
        <f ca="1">IFERROR(__xludf.DUMMYFUNCTION("""COMPUTED_VALUE"""),"MUNICIPALIDAD DISTRITAL DE HUAMANGUILLA")</f>
        <v>MUNICIPALIDAD DISTRITAL DE HUAMANGUILLA</v>
      </c>
      <c r="D480" s="25" t="str">
        <f ca="1">IFERROR(__xludf.DUMMYFUNCTION("""COMPUTED_VALUE"""),"ICA")</f>
        <v>ICA</v>
      </c>
      <c r="E480" s="25" t="str">
        <f ca="1">IFERROR(__xludf.DUMMYFUNCTION("""COMPUTED_VALUE"""),"AYACUCHO")</f>
        <v>AYACUCHO</v>
      </c>
      <c r="F480" s="25" t="str">
        <f ca="1">IFERROR(__xludf.DUMMYFUNCTION("""COMPUTED_VALUE"""),"HUANTA")</f>
        <v>HUANTA</v>
      </c>
      <c r="G480" s="25" t="str">
        <f ca="1">IFERROR(__xludf.DUMMYFUNCTION("""COMPUTED_VALUE"""),"HUAMANGUILLA")</f>
        <v>HUAMANGUILLA</v>
      </c>
      <c r="H480" s="25" t="str">
        <f ca="1">IFERROR(__xludf.DUMMYFUNCTION("""COMPUTED_VALUE"""),"RURAL")</f>
        <v>RURAL</v>
      </c>
      <c r="I480" s="25" t="str">
        <f ca="1">IFERROR(__xludf.DUMMYFUNCTION("""COMPUTED_VALUE"""),"Prioridad 4")</f>
        <v>Prioridad 4</v>
      </c>
      <c r="J480" s="43" t="s">
        <v>262</v>
      </c>
    </row>
    <row r="481" spans="2:10">
      <c r="B481" s="25" t="str">
        <f ca="1">IFERROR(__xludf.DUMMYFUNCTION("""COMPUTED_VALUE"""),"MUNICIPALIDAD DISTRITAL")</f>
        <v>MUNICIPALIDAD DISTRITAL</v>
      </c>
      <c r="C481" s="25" t="str">
        <f ca="1">IFERROR(__xludf.DUMMYFUNCTION("""COMPUTED_VALUE"""),"MUNICIPALIDAD DISTRITAL DE IGUAIN")</f>
        <v>MUNICIPALIDAD DISTRITAL DE IGUAIN</v>
      </c>
      <c r="D481" s="25" t="str">
        <f ca="1">IFERROR(__xludf.DUMMYFUNCTION("""COMPUTED_VALUE"""),"ICA")</f>
        <v>ICA</v>
      </c>
      <c r="E481" s="25" t="str">
        <f ca="1">IFERROR(__xludf.DUMMYFUNCTION("""COMPUTED_VALUE"""),"AYACUCHO")</f>
        <v>AYACUCHO</v>
      </c>
      <c r="F481" s="25" t="str">
        <f ca="1">IFERROR(__xludf.DUMMYFUNCTION("""COMPUTED_VALUE"""),"HUANTA")</f>
        <v>HUANTA</v>
      </c>
      <c r="G481" s="25" t="str">
        <f ca="1">IFERROR(__xludf.DUMMYFUNCTION("""COMPUTED_VALUE"""),"IGUAIN")</f>
        <v>IGUAIN</v>
      </c>
      <c r="H481" s="25" t="str">
        <f ca="1">IFERROR(__xludf.DUMMYFUNCTION("""COMPUTED_VALUE"""),"RURAL")</f>
        <v>RURAL</v>
      </c>
      <c r="I481" s="25" t="str">
        <f ca="1">IFERROR(__xludf.DUMMYFUNCTION("""COMPUTED_VALUE"""),"Prioridad 5")</f>
        <v>Prioridad 5</v>
      </c>
      <c r="J481" s="43" t="s">
        <v>262</v>
      </c>
    </row>
    <row r="482" spans="2:10">
      <c r="B482" s="25" t="str">
        <f ca="1">IFERROR(__xludf.DUMMYFUNCTION("""COMPUTED_VALUE"""),"MUNICIPALIDAD DISTRITAL")</f>
        <v>MUNICIPALIDAD DISTRITAL</v>
      </c>
      <c r="C482" s="25" t="str">
        <f ca="1">IFERROR(__xludf.DUMMYFUNCTION("""COMPUTED_VALUE"""),"MUNICIPALIDAD DISTRITAL DE LLOCHEGUA")</f>
        <v>MUNICIPALIDAD DISTRITAL DE LLOCHEGUA</v>
      </c>
      <c r="D482" s="25" t="str">
        <f ca="1">IFERROR(__xludf.DUMMYFUNCTION("""COMPUTED_VALUE"""),"ICA")</f>
        <v>ICA</v>
      </c>
      <c r="E482" s="25" t="str">
        <f ca="1">IFERROR(__xludf.DUMMYFUNCTION("""COMPUTED_VALUE"""),"AYACUCHO")</f>
        <v>AYACUCHO</v>
      </c>
      <c r="F482" s="25" t="str">
        <f ca="1">IFERROR(__xludf.DUMMYFUNCTION("""COMPUTED_VALUE"""),"HUANTA")</f>
        <v>HUANTA</v>
      </c>
      <c r="G482" s="25" t="str">
        <f ca="1">IFERROR(__xludf.DUMMYFUNCTION("""COMPUTED_VALUE"""),"LLOCHEGUA")</f>
        <v>LLOCHEGUA</v>
      </c>
      <c r="H482" s="25" t="str">
        <f ca="1">IFERROR(__xludf.DUMMYFUNCTION("""COMPUTED_VALUE"""),"RURAL")</f>
        <v>RURAL</v>
      </c>
      <c r="I482" s="25" t="str">
        <f ca="1">IFERROR(__xludf.DUMMYFUNCTION("""COMPUTED_VALUE"""),"Prioridad 3")</f>
        <v>Prioridad 3</v>
      </c>
      <c r="J482" s="43" t="s">
        <v>262</v>
      </c>
    </row>
    <row r="483" spans="2:10">
      <c r="B483" s="25" t="str">
        <f ca="1">IFERROR(__xludf.DUMMYFUNCTION("""COMPUTED_VALUE"""),"MUNICIPALIDAD DISTRITAL")</f>
        <v>MUNICIPALIDAD DISTRITAL</v>
      </c>
      <c r="C483" s="25" t="str">
        <f ca="1">IFERROR(__xludf.DUMMYFUNCTION("""COMPUTED_VALUE"""),"MUNICIPALIDAD DISTRITAL DE LURICOCHA")</f>
        <v>MUNICIPALIDAD DISTRITAL DE LURICOCHA</v>
      </c>
      <c r="D483" s="25" t="str">
        <f ca="1">IFERROR(__xludf.DUMMYFUNCTION("""COMPUTED_VALUE"""),"ICA")</f>
        <v>ICA</v>
      </c>
      <c r="E483" s="25" t="str">
        <f ca="1">IFERROR(__xludf.DUMMYFUNCTION("""COMPUTED_VALUE"""),"AYACUCHO")</f>
        <v>AYACUCHO</v>
      </c>
      <c r="F483" s="25" t="str">
        <f ca="1">IFERROR(__xludf.DUMMYFUNCTION("""COMPUTED_VALUE"""),"HUANTA")</f>
        <v>HUANTA</v>
      </c>
      <c r="G483" s="25" t="str">
        <f ca="1">IFERROR(__xludf.DUMMYFUNCTION("""COMPUTED_VALUE"""),"LURICOCHA")</f>
        <v>LURICOCHA</v>
      </c>
      <c r="H483" s="25" t="str">
        <f ca="1">IFERROR(__xludf.DUMMYFUNCTION("""COMPUTED_VALUE"""),"RURAL")</f>
        <v>RURAL</v>
      </c>
      <c r="I483" s="25" t="str">
        <f ca="1">IFERROR(__xludf.DUMMYFUNCTION("""COMPUTED_VALUE"""),"Prioridad 3")</f>
        <v>Prioridad 3</v>
      </c>
      <c r="J483" s="43" t="s">
        <v>262</v>
      </c>
    </row>
    <row r="484" spans="2:10">
      <c r="B484" s="25" t="str">
        <f ca="1">IFERROR(__xludf.DUMMYFUNCTION("""COMPUTED_VALUE"""),"MUNICIPALIDAD DISTRITAL")</f>
        <v>MUNICIPALIDAD DISTRITAL</v>
      </c>
      <c r="C484" s="25" t="str">
        <f ca="1">IFERROR(__xludf.DUMMYFUNCTION("""COMPUTED_VALUE"""),"MUNICIPALIDAD DISTRITAL DE SANTILLANA")</f>
        <v>MUNICIPALIDAD DISTRITAL DE SANTILLANA</v>
      </c>
      <c r="D484" s="25" t="str">
        <f ca="1">IFERROR(__xludf.DUMMYFUNCTION("""COMPUTED_VALUE"""),"ICA")</f>
        <v>ICA</v>
      </c>
      <c r="E484" s="25" t="str">
        <f ca="1">IFERROR(__xludf.DUMMYFUNCTION("""COMPUTED_VALUE"""),"AYACUCHO")</f>
        <v>AYACUCHO</v>
      </c>
      <c r="F484" s="25" t="str">
        <f ca="1">IFERROR(__xludf.DUMMYFUNCTION("""COMPUTED_VALUE"""),"HUANTA")</f>
        <v>HUANTA</v>
      </c>
      <c r="G484" s="25" t="str">
        <f ca="1">IFERROR(__xludf.DUMMYFUNCTION("""COMPUTED_VALUE"""),"SANTILLANA")</f>
        <v>SANTILLANA</v>
      </c>
      <c r="H484" s="25" t="str">
        <f ca="1">IFERROR(__xludf.DUMMYFUNCTION("""COMPUTED_VALUE"""),"RURAL")</f>
        <v>RURAL</v>
      </c>
      <c r="I484" s="25" t="str">
        <f ca="1">IFERROR(__xludf.DUMMYFUNCTION("""COMPUTED_VALUE"""),"Prioridad 4")</f>
        <v>Prioridad 4</v>
      </c>
      <c r="J484" s="43" t="s">
        <v>262</v>
      </c>
    </row>
    <row r="485" spans="2:10">
      <c r="B485" s="25" t="str">
        <f ca="1">IFERROR(__xludf.DUMMYFUNCTION("""COMPUTED_VALUE"""),"MUNICIPALIDAD DISTRITAL")</f>
        <v>MUNICIPALIDAD DISTRITAL</v>
      </c>
      <c r="C485" s="25" t="str">
        <f ca="1">IFERROR(__xludf.DUMMYFUNCTION("""COMPUTED_VALUE"""),"MUNICIPALIDAD DISTRITAL DE SIVIA")</f>
        <v>MUNICIPALIDAD DISTRITAL DE SIVIA</v>
      </c>
      <c r="D485" s="25" t="str">
        <f ca="1">IFERROR(__xludf.DUMMYFUNCTION("""COMPUTED_VALUE"""),"ICA")</f>
        <v>ICA</v>
      </c>
      <c r="E485" s="25" t="str">
        <f ca="1">IFERROR(__xludf.DUMMYFUNCTION("""COMPUTED_VALUE"""),"AYACUCHO")</f>
        <v>AYACUCHO</v>
      </c>
      <c r="F485" s="25" t="str">
        <f ca="1">IFERROR(__xludf.DUMMYFUNCTION("""COMPUTED_VALUE"""),"HUANTA")</f>
        <v>HUANTA</v>
      </c>
      <c r="G485" s="25" t="str">
        <f ca="1">IFERROR(__xludf.DUMMYFUNCTION("""COMPUTED_VALUE"""),"SIVIA")</f>
        <v>SIVIA</v>
      </c>
      <c r="H485" s="25" t="str">
        <f ca="1">IFERROR(__xludf.DUMMYFUNCTION("""COMPUTED_VALUE"""),"RURAL")</f>
        <v>RURAL</v>
      </c>
      <c r="I485" s="25" t="str">
        <f ca="1">IFERROR(__xludf.DUMMYFUNCTION("""COMPUTED_VALUE"""),"Prioridad 2")</f>
        <v>Prioridad 2</v>
      </c>
      <c r="J485" s="43" t="s">
        <v>262</v>
      </c>
    </row>
    <row r="486" spans="2:10">
      <c r="B486" s="25" t="str">
        <f ca="1">IFERROR(__xludf.DUMMYFUNCTION("""COMPUTED_VALUE"""),"MUNICIPALIDAD DISTRITAL")</f>
        <v>MUNICIPALIDAD DISTRITAL</v>
      </c>
      <c r="C486" s="25" t="str">
        <f ca="1">IFERROR(__xludf.DUMMYFUNCTION("""COMPUTED_VALUE"""),"MUNICIPALIDAD DISTRITAL DE CANAYRE")</f>
        <v>MUNICIPALIDAD DISTRITAL DE CANAYRE</v>
      </c>
      <c r="D486" s="25" t="str">
        <f ca="1">IFERROR(__xludf.DUMMYFUNCTION("""COMPUTED_VALUE"""),"ICA")</f>
        <v>ICA</v>
      </c>
      <c r="E486" s="25" t="str">
        <f ca="1">IFERROR(__xludf.DUMMYFUNCTION("""COMPUTED_VALUE"""),"AYACUCHO")</f>
        <v>AYACUCHO</v>
      </c>
      <c r="F486" s="25" t="str">
        <f ca="1">IFERROR(__xludf.DUMMYFUNCTION("""COMPUTED_VALUE"""),"HUANTA")</f>
        <v>HUANTA</v>
      </c>
      <c r="G486" s="25" t="str">
        <f ca="1">IFERROR(__xludf.DUMMYFUNCTION("""COMPUTED_VALUE"""),"CANAYRE")</f>
        <v>CANAYRE</v>
      </c>
      <c r="H486" s="25" t="str">
        <f ca="1">IFERROR(__xludf.DUMMYFUNCTION("""COMPUTED_VALUE"""),"RURAL")</f>
        <v>RURAL</v>
      </c>
      <c r="I486" s="25" t="str">
        <f ca="1">IFERROR(__xludf.DUMMYFUNCTION("""COMPUTED_VALUE"""),"Prioridad 3")</f>
        <v>Prioridad 3</v>
      </c>
      <c r="J486" s="43" t="s">
        <v>262</v>
      </c>
    </row>
    <row r="487" spans="2:10">
      <c r="B487" s="25" t="str">
        <f ca="1">IFERROR(__xludf.DUMMYFUNCTION("""COMPUTED_VALUE"""),"MUNICIPALIDAD DISTRITAL")</f>
        <v>MUNICIPALIDAD DISTRITAL</v>
      </c>
      <c r="C487" s="25" t="str">
        <f ca="1">IFERROR(__xludf.DUMMYFUNCTION("""COMPUTED_VALUE"""),"MUNICIPALIDAD DISTRITAL DE UCHURACCAY")</f>
        <v>MUNICIPALIDAD DISTRITAL DE UCHURACCAY</v>
      </c>
      <c r="D487" s="25" t="str">
        <f ca="1">IFERROR(__xludf.DUMMYFUNCTION("""COMPUTED_VALUE"""),"ICA")</f>
        <v>ICA</v>
      </c>
      <c r="E487" s="25" t="str">
        <f ca="1">IFERROR(__xludf.DUMMYFUNCTION("""COMPUTED_VALUE"""),"AYACUCHO")</f>
        <v>AYACUCHO</v>
      </c>
      <c r="F487" s="25" t="str">
        <f ca="1">IFERROR(__xludf.DUMMYFUNCTION("""COMPUTED_VALUE"""),"HUANTA")</f>
        <v>HUANTA</v>
      </c>
      <c r="G487" s="25" t="str">
        <f ca="1">IFERROR(__xludf.DUMMYFUNCTION("""COMPUTED_VALUE"""),"UCHURACCAY")</f>
        <v>UCHURACCAY</v>
      </c>
      <c r="H487" s="25" t="str">
        <f ca="1">IFERROR(__xludf.DUMMYFUNCTION("""COMPUTED_VALUE"""),"RURAL")</f>
        <v>RURAL</v>
      </c>
      <c r="I487" s="25" t="str">
        <f ca="1">IFERROR(__xludf.DUMMYFUNCTION("""COMPUTED_VALUE"""),"Prioridad 5")</f>
        <v>Prioridad 5</v>
      </c>
      <c r="J487" s="43" t="s">
        <v>262</v>
      </c>
    </row>
    <row r="488" spans="2:10">
      <c r="B488" s="25" t="str">
        <f ca="1">IFERROR(__xludf.DUMMYFUNCTION("""COMPUTED_VALUE"""),"MUNICIPALIDAD DISTRITAL")</f>
        <v>MUNICIPALIDAD DISTRITAL</v>
      </c>
      <c r="C488" s="25" t="str">
        <f ca="1">IFERROR(__xludf.DUMMYFUNCTION("""COMPUTED_VALUE"""),"MUNICIPALIDAD DISTRITAL DE PUCACOLPA")</f>
        <v>MUNICIPALIDAD DISTRITAL DE PUCACOLPA</v>
      </c>
      <c r="D488" s="25" t="str">
        <f ca="1">IFERROR(__xludf.DUMMYFUNCTION("""COMPUTED_VALUE"""),"ICA")</f>
        <v>ICA</v>
      </c>
      <c r="E488" s="25" t="str">
        <f ca="1">IFERROR(__xludf.DUMMYFUNCTION("""COMPUTED_VALUE"""),"AYACUCHO")</f>
        <v>AYACUCHO</v>
      </c>
      <c r="F488" s="25" t="str">
        <f ca="1">IFERROR(__xludf.DUMMYFUNCTION("""COMPUTED_VALUE"""),"HUANTA")</f>
        <v>HUANTA</v>
      </c>
      <c r="G488" s="25" t="str">
        <f ca="1">IFERROR(__xludf.DUMMYFUNCTION("""COMPUTED_VALUE"""),"PUCACOLPA")</f>
        <v>PUCACOLPA</v>
      </c>
      <c r="H488" s="25" t="str">
        <f ca="1">IFERROR(__xludf.DUMMYFUNCTION("""COMPUTED_VALUE"""),"RURAL")</f>
        <v>RURAL</v>
      </c>
      <c r="I488" s="25" t="str">
        <f ca="1">IFERROR(__xludf.DUMMYFUNCTION("""COMPUTED_VALUE"""),"Prioridad 5")</f>
        <v>Prioridad 5</v>
      </c>
      <c r="J488" s="43" t="s">
        <v>262</v>
      </c>
    </row>
    <row r="489" spans="2:10">
      <c r="B489" s="25" t="str">
        <f ca="1">IFERROR(__xludf.DUMMYFUNCTION("""COMPUTED_VALUE"""),"MUNICIPALIDAD DISTRITAL")</f>
        <v>MUNICIPALIDAD DISTRITAL</v>
      </c>
      <c r="C489" s="25" t="str">
        <f ca="1">IFERROR(__xludf.DUMMYFUNCTION("""COMPUTED_VALUE"""),"MUNICIPALIDAD DISTRITAL DE CHACA")</f>
        <v>MUNICIPALIDAD DISTRITAL DE CHACA</v>
      </c>
      <c r="D489" s="25" t="str">
        <f ca="1">IFERROR(__xludf.DUMMYFUNCTION("""COMPUTED_VALUE"""),"ICA")</f>
        <v>ICA</v>
      </c>
      <c r="E489" s="25" t="str">
        <f ca="1">IFERROR(__xludf.DUMMYFUNCTION("""COMPUTED_VALUE"""),"AYACUCHO")</f>
        <v>AYACUCHO</v>
      </c>
      <c r="F489" s="25" t="str">
        <f ca="1">IFERROR(__xludf.DUMMYFUNCTION("""COMPUTED_VALUE"""),"HUANTA")</f>
        <v>HUANTA</v>
      </c>
      <c r="G489" s="25" t="str">
        <f ca="1">IFERROR(__xludf.DUMMYFUNCTION("""COMPUTED_VALUE"""),"CHACA")</f>
        <v>CHACA</v>
      </c>
      <c r="H489" s="25" t="str">
        <f ca="1">IFERROR(__xludf.DUMMYFUNCTION("""COMPUTED_VALUE"""),"RURAL")</f>
        <v>RURAL</v>
      </c>
      <c r="I489" s="25" t="str">
        <f ca="1">IFERROR(__xludf.DUMMYFUNCTION("""COMPUTED_VALUE"""),"Prioridad 5")</f>
        <v>Prioridad 5</v>
      </c>
      <c r="J489" s="43" t="s">
        <v>262</v>
      </c>
    </row>
    <row r="490" spans="2:10">
      <c r="B490" s="25" t="str">
        <f ca="1">IFERROR(__xludf.DUMMYFUNCTION("""COMPUTED_VALUE"""),"MUNICIPALIDAD DISTRITAL")</f>
        <v>MUNICIPALIDAD DISTRITAL</v>
      </c>
      <c r="C490" s="25" t="str">
        <f ca="1">IFERROR(__xludf.DUMMYFUNCTION("""COMPUTED_VALUE"""),"MUNICIPALIDAD DISTRITAL DE PUTIS")</f>
        <v>MUNICIPALIDAD DISTRITAL DE PUTIS</v>
      </c>
      <c r="D490" s="25" t="str">
        <f ca="1">IFERROR(__xludf.DUMMYFUNCTION("""COMPUTED_VALUE"""),"ICA")</f>
        <v>ICA</v>
      </c>
      <c r="E490" s="25" t="str">
        <f ca="1">IFERROR(__xludf.DUMMYFUNCTION("""COMPUTED_VALUE"""),"AYACUCHO")</f>
        <v>AYACUCHO</v>
      </c>
      <c r="F490" s="25" t="str">
        <f ca="1">IFERROR(__xludf.DUMMYFUNCTION("""COMPUTED_VALUE"""),"HUANTA")</f>
        <v>HUANTA</v>
      </c>
      <c r="G490" s="25" t="str">
        <f ca="1">IFERROR(__xludf.DUMMYFUNCTION("""COMPUTED_VALUE"""),"PUTIS")</f>
        <v>PUTIS</v>
      </c>
      <c r="H490" s="25" t="str">
        <f ca="1">IFERROR(__xludf.DUMMYFUNCTION("""COMPUTED_VALUE"""),"RURAL")</f>
        <v>RURAL</v>
      </c>
      <c r="I490" s="25" t="str">
        <f ca="1">IFERROR(__xludf.DUMMYFUNCTION("""COMPUTED_VALUE"""),"Prioridad 5")</f>
        <v>Prioridad 5</v>
      </c>
      <c r="J490" s="43" t="s">
        <v>262</v>
      </c>
    </row>
    <row r="491" spans="2:10">
      <c r="B491" s="25" t="str">
        <f ca="1">IFERROR(__xludf.DUMMYFUNCTION("""COMPUTED_VALUE"""),"MUNICIPALIDAD PROVINCIAL")</f>
        <v>MUNICIPALIDAD PROVINCIAL</v>
      </c>
      <c r="C491" s="25" t="str">
        <f ca="1">IFERROR(__xludf.DUMMYFUNCTION("""COMPUTED_VALUE"""),"MUNICIPALIDAD PROVINCIAL DE LA MAR")</f>
        <v>MUNICIPALIDAD PROVINCIAL DE LA MAR</v>
      </c>
      <c r="D491" s="25" t="str">
        <f ca="1">IFERROR(__xludf.DUMMYFUNCTION("""COMPUTED_VALUE"""),"ICA")</f>
        <v>ICA</v>
      </c>
      <c r="E491" s="25" t="str">
        <f ca="1">IFERROR(__xludf.DUMMYFUNCTION("""COMPUTED_VALUE"""),"AYACUCHO")</f>
        <v>AYACUCHO</v>
      </c>
      <c r="F491" s="25" t="str">
        <f ca="1">IFERROR(__xludf.DUMMYFUNCTION("""COMPUTED_VALUE"""),"LA MAR")</f>
        <v>LA MAR</v>
      </c>
      <c r="G491" s="25" t="str">
        <f ca="1">IFERROR(__xludf.DUMMYFUNCTION("""COMPUTED_VALUE"""),"SAN MIGUEL")</f>
        <v>SAN MIGUEL</v>
      </c>
      <c r="H491" s="25" t="str">
        <f ca="1">IFERROR(__xludf.DUMMYFUNCTION("""COMPUTED_VALUE"""),"RURAL")</f>
        <v>RURAL</v>
      </c>
      <c r="I491" s="25" t="str">
        <f ca="1">IFERROR(__xludf.DUMMYFUNCTION("""COMPUTED_VALUE"""),"Prioridad 2")</f>
        <v>Prioridad 2</v>
      </c>
      <c r="J491" s="43" t="s">
        <v>262</v>
      </c>
    </row>
    <row r="492" spans="2:10">
      <c r="B492" s="25" t="str">
        <f ca="1">IFERROR(__xludf.DUMMYFUNCTION("""COMPUTED_VALUE"""),"MUNICIPALIDAD DISTRITAL")</f>
        <v>MUNICIPALIDAD DISTRITAL</v>
      </c>
      <c r="C492" s="25" t="str">
        <f ca="1">IFERROR(__xludf.DUMMYFUNCTION("""COMPUTED_VALUE"""),"MUNICIPALIDAD DISTRITAL DE ANCO EN LA MAR")</f>
        <v>MUNICIPALIDAD DISTRITAL DE ANCO EN LA MAR</v>
      </c>
      <c r="D492" s="25" t="str">
        <f ca="1">IFERROR(__xludf.DUMMYFUNCTION("""COMPUTED_VALUE"""),"ICA")</f>
        <v>ICA</v>
      </c>
      <c r="E492" s="25" t="str">
        <f ca="1">IFERROR(__xludf.DUMMYFUNCTION("""COMPUTED_VALUE"""),"AYACUCHO")</f>
        <v>AYACUCHO</v>
      </c>
      <c r="F492" s="25" t="str">
        <f ca="1">IFERROR(__xludf.DUMMYFUNCTION("""COMPUTED_VALUE"""),"LA MAR")</f>
        <v>LA MAR</v>
      </c>
      <c r="G492" s="25" t="str">
        <f ca="1">IFERROR(__xludf.DUMMYFUNCTION("""COMPUTED_VALUE"""),"ANCO")</f>
        <v>ANCO</v>
      </c>
      <c r="H492" s="25" t="str">
        <f ca="1">IFERROR(__xludf.DUMMYFUNCTION("""COMPUTED_VALUE"""),"RURAL")</f>
        <v>RURAL</v>
      </c>
      <c r="I492" s="25" t="str">
        <f ca="1">IFERROR(__xludf.DUMMYFUNCTION("""COMPUTED_VALUE"""),"Prioridad 3")</f>
        <v>Prioridad 3</v>
      </c>
      <c r="J492" s="43" t="s">
        <v>262</v>
      </c>
    </row>
    <row r="493" spans="2:10">
      <c r="B493" s="25" t="str">
        <f ca="1">IFERROR(__xludf.DUMMYFUNCTION("""COMPUTED_VALUE"""),"MUNICIPALIDAD DISTRITAL")</f>
        <v>MUNICIPALIDAD DISTRITAL</v>
      </c>
      <c r="C493" s="25" t="str">
        <f ca="1">IFERROR(__xludf.DUMMYFUNCTION("""COMPUTED_VALUE"""),"MUNICIPALIDAD DISTRITAL DE AYNA")</f>
        <v>MUNICIPALIDAD DISTRITAL DE AYNA</v>
      </c>
      <c r="D493" s="25" t="str">
        <f ca="1">IFERROR(__xludf.DUMMYFUNCTION("""COMPUTED_VALUE"""),"ICA")</f>
        <v>ICA</v>
      </c>
      <c r="E493" s="25" t="str">
        <f ca="1">IFERROR(__xludf.DUMMYFUNCTION("""COMPUTED_VALUE"""),"AYACUCHO")</f>
        <v>AYACUCHO</v>
      </c>
      <c r="F493" s="25" t="str">
        <f ca="1">IFERROR(__xludf.DUMMYFUNCTION("""COMPUTED_VALUE"""),"LA MAR")</f>
        <v>LA MAR</v>
      </c>
      <c r="G493" s="25" t="str">
        <f ca="1">IFERROR(__xludf.DUMMYFUNCTION("""COMPUTED_VALUE"""),"AYNA")</f>
        <v>AYNA</v>
      </c>
      <c r="H493" s="25" t="str">
        <f ca="1">IFERROR(__xludf.DUMMYFUNCTION("""COMPUTED_VALUE"""),"URBANO")</f>
        <v>URBANO</v>
      </c>
      <c r="I493" s="25" t="str">
        <f ca="1">IFERROR(__xludf.DUMMYFUNCTION("""COMPUTED_VALUE"""),"Prioridad 2")</f>
        <v>Prioridad 2</v>
      </c>
      <c r="J493" s="43" t="s">
        <v>262</v>
      </c>
    </row>
    <row r="494" spans="2:10">
      <c r="B494" s="25" t="str">
        <f ca="1">IFERROR(__xludf.DUMMYFUNCTION("""COMPUTED_VALUE"""),"MUNICIPALIDAD DISTRITAL")</f>
        <v>MUNICIPALIDAD DISTRITAL</v>
      </c>
      <c r="C494" s="25" t="str">
        <f ca="1">IFERROR(__xludf.DUMMYFUNCTION("""COMPUTED_VALUE"""),"MUNICIPALIDAD DISTRITAL DE CHILCAS")</f>
        <v>MUNICIPALIDAD DISTRITAL DE CHILCAS</v>
      </c>
      <c r="D494" s="25" t="str">
        <f ca="1">IFERROR(__xludf.DUMMYFUNCTION("""COMPUTED_VALUE"""),"ICA")</f>
        <v>ICA</v>
      </c>
      <c r="E494" s="25" t="str">
        <f ca="1">IFERROR(__xludf.DUMMYFUNCTION("""COMPUTED_VALUE"""),"AYACUCHO")</f>
        <v>AYACUCHO</v>
      </c>
      <c r="F494" s="25" t="str">
        <f ca="1">IFERROR(__xludf.DUMMYFUNCTION("""COMPUTED_VALUE"""),"LA MAR")</f>
        <v>LA MAR</v>
      </c>
      <c r="G494" s="25" t="str">
        <f ca="1">IFERROR(__xludf.DUMMYFUNCTION("""COMPUTED_VALUE"""),"CHILCAS")</f>
        <v>CHILCAS</v>
      </c>
      <c r="H494" s="25" t="str">
        <f ca="1">IFERROR(__xludf.DUMMYFUNCTION("""COMPUTED_VALUE"""),"RURAL")</f>
        <v>RURAL</v>
      </c>
      <c r="I494" s="25" t="str">
        <f ca="1">IFERROR(__xludf.DUMMYFUNCTION("""COMPUTED_VALUE"""),"Prioridad 5")</f>
        <v>Prioridad 5</v>
      </c>
      <c r="J494" s="43" t="s">
        <v>262</v>
      </c>
    </row>
    <row r="495" spans="2:10">
      <c r="B495" s="25" t="str">
        <f ca="1">IFERROR(__xludf.DUMMYFUNCTION("""COMPUTED_VALUE"""),"MUNICIPALIDAD DISTRITAL")</f>
        <v>MUNICIPALIDAD DISTRITAL</v>
      </c>
      <c r="C495" s="25" t="str">
        <f ca="1">IFERROR(__xludf.DUMMYFUNCTION("""COMPUTED_VALUE"""),"MUNICIPALIDAD DISTRITAL DE CHUNGUI")</f>
        <v>MUNICIPALIDAD DISTRITAL DE CHUNGUI</v>
      </c>
      <c r="D495" s="25" t="str">
        <f ca="1">IFERROR(__xludf.DUMMYFUNCTION("""COMPUTED_VALUE"""),"ICA")</f>
        <v>ICA</v>
      </c>
      <c r="E495" s="25" t="str">
        <f ca="1">IFERROR(__xludf.DUMMYFUNCTION("""COMPUTED_VALUE"""),"AYACUCHO")</f>
        <v>AYACUCHO</v>
      </c>
      <c r="F495" s="25" t="str">
        <f ca="1">IFERROR(__xludf.DUMMYFUNCTION("""COMPUTED_VALUE"""),"LA MAR")</f>
        <v>LA MAR</v>
      </c>
      <c r="G495" s="25" t="str">
        <f ca="1">IFERROR(__xludf.DUMMYFUNCTION("""COMPUTED_VALUE"""),"CHUNGUI")</f>
        <v>CHUNGUI</v>
      </c>
      <c r="H495" s="25" t="str">
        <f ca="1">IFERROR(__xludf.DUMMYFUNCTION("""COMPUTED_VALUE"""),"RURAL")</f>
        <v>RURAL</v>
      </c>
      <c r="I495" s="25" t="str">
        <f ca="1">IFERROR(__xludf.DUMMYFUNCTION("""COMPUTED_VALUE"""),"Prioridad 5")</f>
        <v>Prioridad 5</v>
      </c>
      <c r="J495" s="43" t="s">
        <v>262</v>
      </c>
    </row>
    <row r="496" spans="2:10">
      <c r="B496" s="25" t="str">
        <f ca="1">IFERROR(__xludf.DUMMYFUNCTION("""COMPUTED_VALUE"""),"MUNICIPALIDAD DISTRITAL")</f>
        <v>MUNICIPALIDAD DISTRITAL</v>
      </c>
      <c r="C496" s="25" t="str">
        <f ca="1">IFERROR(__xludf.DUMMYFUNCTION("""COMPUTED_VALUE"""),"MUNICIPALIDAD DISTRITAL DE LUIS CARRANZA")</f>
        <v>MUNICIPALIDAD DISTRITAL DE LUIS CARRANZA</v>
      </c>
      <c r="D496" s="25" t="str">
        <f ca="1">IFERROR(__xludf.DUMMYFUNCTION("""COMPUTED_VALUE"""),"ICA")</f>
        <v>ICA</v>
      </c>
      <c r="E496" s="25" t="str">
        <f ca="1">IFERROR(__xludf.DUMMYFUNCTION("""COMPUTED_VALUE"""),"AYACUCHO")</f>
        <v>AYACUCHO</v>
      </c>
      <c r="F496" s="25" t="str">
        <f ca="1">IFERROR(__xludf.DUMMYFUNCTION("""COMPUTED_VALUE"""),"LA MAR")</f>
        <v>LA MAR</v>
      </c>
      <c r="G496" s="25" t="str">
        <f ca="1">IFERROR(__xludf.DUMMYFUNCTION("""COMPUTED_VALUE"""),"LUIS CARRANZA")</f>
        <v>LUIS CARRANZA</v>
      </c>
      <c r="H496" s="25" t="str">
        <f ca="1">IFERROR(__xludf.DUMMYFUNCTION("""COMPUTED_VALUE"""),"RURAL")</f>
        <v>RURAL</v>
      </c>
      <c r="I496" s="25" t="str">
        <f ca="1">IFERROR(__xludf.DUMMYFUNCTION("""COMPUTED_VALUE"""),"Prioridad 5")</f>
        <v>Prioridad 5</v>
      </c>
      <c r="J496" s="43" t="s">
        <v>262</v>
      </c>
    </row>
    <row r="497" spans="2:10">
      <c r="B497" s="25" t="str">
        <f ca="1">IFERROR(__xludf.DUMMYFUNCTION("""COMPUTED_VALUE"""),"MUNICIPALIDAD DISTRITAL")</f>
        <v>MUNICIPALIDAD DISTRITAL</v>
      </c>
      <c r="C497" s="25" t="str">
        <f ca="1">IFERROR(__xludf.DUMMYFUNCTION("""COMPUTED_VALUE"""),"MUNICIPALIDAD DISTRITAL DE SANTA ROSA EN LA MAR")</f>
        <v>MUNICIPALIDAD DISTRITAL DE SANTA ROSA EN LA MAR</v>
      </c>
      <c r="D497" s="25" t="str">
        <f ca="1">IFERROR(__xludf.DUMMYFUNCTION("""COMPUTED_VALUE"""),"ICA")</f>
        <v>ICA</v>
      </c>
      <c r="E497" s="25" t="str">
        <f ca="1">IFERROR(__xludf.DUMMYFUNCTION("""COMPUTED_VALUE"""),"AYACUCHO")</f>
        <v>AYACUCHO</v>
      </c>
      <c r="F497" s="25" t="str">
        <f ca="1">IFERROR(__xludf.DUMMYFUNCTION("""COMPUTED_VALUE"""),"LA MAR")</f>
        <v>LA MAR</v>
      </c>
      <c r="G497" s="25" t="str">
        <f ca="1">IFERROR(__xludf.DUMMYFUNCTION("""COMPUTED_VALUE"""),"SANTA ROSA")</f>
        <v>SANTA ROSA</v>
      </c>
      <c r="H497" s="25" t="str">
        <f ca="1">IFERROR(__xludf.DUMMYFUNCTION("""COMPUTED_VALUE"""),"URBANO")</f>
        <v>URBANO</v>
      </c>
      <c r="I497" s="25" t="str">
        <f ca="1">IFERROR(__xludf.DUMMYFUNCTION("""COMPUTED_VALUE"""),"Prioridad 2")</f>
        <v>Prioridad 2</v>
      </c>
      <c r="J497" s="43" t="s">
        <v>262</v>
      </c>
    </row>
    <row r="498" spans="2:10">
      <c r="B498" s="25" t="str">
        <f ca="1">IFERROR(__xludf.DUMMYFUNCTION("""COMPUTED_VALUE"""),"MUNICIPALIDAD DISTRITAL")</f>
        <v>MUNICIPALIDAD DISTRITAL</v>
      </c>
      <c r="C498" s="25" t="str">
        <f ca="1">IFERROR(__xludf.DUMMYFUNCTION("""COMPUTED_VALUE"""),"MUNICIPALIDAD DISTRITAL DE TAMBO EN LA MAR")</f>
        <v>MUNICIPALIDAD DISTRITAL DE TAMBO EN LA MAR</v>
      </c>
      <c r="D498" s="25" t="str">
        <f ca="1">IFERROR(__xludf.DUMMYFUNCTION("""COMPUTED_VALUE"""),"ICA")</f>
        <v>ICA</v>
      </c>
      <c r="E498" s="25" t="str">
        <f ca="1">IFERROR(__xludf.DUMMYFUNCTION("""COMPUTED_VALUE"""),"AYACUCHO")</f>
        <v>AYACUCHO</v>
      </c>
      <c r="F498" s="25" t="str">
        <f ca="1">IFERROR(__xludf.DUMMYFUNCTION("""COMPUTED_VALUE"""),"LA MAR")</f>
        <v>LA MAR</v>
      </c>
      <c r="G498" s="25" t="str">
        <f ca="1">IFERROR(__xludf.DUMMYFUNCTION("""COMPUTED_VALUE"""),"TAMBO")</f>
        <v>TAMBO</v>
      </c>
      <c r="H498" s="25" t="str">
        <f ca="1">IFERROR(__xludf.DUMMYFUNCTION("""COMPUTED_VALUE"""),"URBANO")</f>
        <v>URBANO</v>
      </c>
      <c r="I498" s="25" t="str">
        <f ca="1">IFERROR(__xludf.DUMMYFUNCTION("""COMPUTED_VALUE"""),"Prioridad 5")</f>
        <v>Prioridad 5</v>
      </c>
      <c r="J498" s="43" t="s">
        <v>262</v>
      </c>
    </row>
    <row r="499" spans="2:10">
      <c r="B499" s="25" t="str">
        <f ca="1">IFERROR(__xludf.DUMMYFUNCTION("""COMPUTED_VALUE"""),"MUNICIPALIDAD DISTRITAL")</f>
        <v>MUNICIPALIDAD DISTRITAL</v>
      </c>
      <c r="C499" s="25" t="str">
        <f ca="1">IFERROR(__xludf.DUMMYFUNCTION("""COMPUTED_VALUE"""),"MUNICIPALIDAD DISTRITAL DE SAMUGARI")</f>
        <v>MUNICIPALIDAD DISTRITAL DE SAMUGARI</v>
      </c>
      <c r="D499" s="25" t="str">
        <f ca="1">IFERROR(__xludf.DUMMYFUNCTION("""COMPUTED_VALUE"""),"ICA")</f>
        <v>ICA</v>
      </c>
      <c r="E499" s="25" t="str">
        <f ca="1">IFERROR(__xludf.DUMMYFUNCTION("""COMPUTED_VALUE"""),"AYACUCHO")</f>
        <v>AYACUCHO</v>
      </c>
      <c r="F499" s="25" t="str">
        <f ca="1">IFERROR(__xludf.DUMMYFUNCTION("""COMPUTED_VALUE"""),"LA MAR")</f>
        <v>LA MAR</v>
      </c>
      <c r="G499" s="25" t="str">
        <f ca="1">IFERROR(__xludf.DUMMYFUNCTION("""COMPUTED_VALUE"""),"SAMUGARI")</f>
        <v>SAMUGARI</v>
      </c>
      <c r="H499" s="25" t="str">
        <f ca="1">IFERROR(__xludf.DUMMYFUNCTION("""COMPUTED_VALUE"""),"RURAL")</f>
        <v>RURAL</v>
      </c>
      <c r="I499" s="25" t="str">
        <f ca="1">IFERROR(__xludf.DUMMYFUNCTION("""COMPUTED_VALUE"""),"Prioridad 3")</f>
        <v>Prioridad 3</v>
      </c>
      <c r="J499" s="43" t="s">
        <v>262</v>
      </c>
    </row>
    <row r="500" spans="2:10">
      <c r="B500" s="25" t="str">
        <f ca="1">IFERROR(__xludf.DUMMYFUNCTION("""COMPUTED_VALUE"""),"MUNICIPALIDAD DISTRITAL")</f>
        <v>MUNICIPALIDAD DISTRITAL</v>
      </c>
      <c r="C500" s="25" t="str">
        <f ca="1">IFERROR(__xludf.DUMMYFUNCTION("""COMPUTED_VALUE"""),"MUNICIPALIDAD DISTRITAL DE ANCHIHUAY")</f>
        <v>MUNICIPALIDAD DISTRITAL DE ANCHIHUAY</v>
      </c>
      <c r="D500" s="25" t="str">
        <f ca="1">IFERROR(__xludf.DUMMYFUNCTION("""COMPUTED_VALUE"""),"ICA")</f>
        <v>ICA</v>
      </c>
      <c r="E500" s="25" t="str">
        <f ca="1">IFERROR(__xludf.DUMMYFUNCTION("""COMPUTED_VALUE"""),"AYACUCHO")</f>
        <v>AYACUCHO</v>
      </c>
      <c r="F500" s="25" t="str">
        <f ca="1">IFERROR(__xludf.DUMMYFUNCTION("""COMPUTED_VALUE"""),"LA MAR")</f>
        <v>LA MAR</v>
      </c>
      <c r="G500" s="25" t="str">
        <f ca="1">IFERROR(__xludf.DUMMYFUNCTION("""COMPUTED_VALUE"""),"ANCHIHUAY")</f>
        <v>ANCHIHUAY</v>
      </c>
      <c r="H500" s="25" t="str">
        <f ca="1">IFERROR(__xludf.DUMMYFUNCTION("""COMPUTED_VALUE"""),"RURAL")</f>
        <v>RURAL</v>
      </c>
      <c r="I500" s="25" t="str">
        <f ca="1">IFERROR(__xludf.DUMMYFUNCTION("""COMPUTED_VALUE"""),"Prioridad 5")</f>
        <v>Prioridad 5</v>
      </c>
      <c r="J500" s="43" t="s">
        <v>262</v>
      </c>
    </row>
    <row r="501" spans="2:10">
      <c r="B501" s="25" t="str">
        <f ca="1">IFERROR(__xludf.DUMMYFUNCTION("""COMPUTED_VALUE"""),"MUNICIPALIDAD DISTRITAL")</f>
        <v>MUNICIPALIDAD DISTRITAL</v>
      </c>
      <c r="C501" s="25" t="str">
        <f ca="1">IFERROR(__xludf.DUMMYFUNCTION("""COMPUTED_VALUE"""),"MUNICIPALIDAD DISTRITAL DE ORONCCOY")</f>
        <v>MUNICIPALIDAD DISTRITAL DE ORONCCOY</v>
      </c>
      <c r="D501" s="25" t="str">
        <f ca="1">IFERROR(__xludf.DUMMYFUNCTION("""COMPUTED_VALUE"""),"ICA")</f>
        <v>ICA</v>
      </c>
      <c r="E501" s="25" t="str">
        <f ca="1">IFERROR(__xludf.DUMMYFUNCTION("""COMPUTED_VALUE"""),"AYACUCHO")</f>
        <v>AYACUCHO</v>
      </c>
      <c r="F501" s="25" t="str">
        <f ca="1">IFERROR(__xludf.DUMMYFUNCTION("""COMPUTED_VALUE"""),"LA MAR")</f>
        <v>LA MAR</v>
      </c>
      <c r="G501" s="25" t="str">
        <f ca="1">IFERROR(__xludf.DUMMYFUNCTION("""COMPUTED_VALUE"""),"ORONCCOY")</f>
        <v>ORONCCOY</v>
      </c>
      <c r="H501" s="25" t="str">
        <f ca="1">IFERROR(__xludf.DUMMYFUNCTION("""COMPUTED_VALUE"""),"RURAL")</f>
        <v>RURAL</v>
      </c>
      <c r="I501" s="25" t="str">
        <f ca="1">IFERROR(__xludf.DUMMYFUNCTION("""COMPUTED_VALUE"""),"Prioridad 5")</f>
        <v>Prioridad 5</v>
      </c>
      <c r="J501" s="43" t="s">
        <v>262</v>
      </c>
    </row>
    <row r="502" spans="2:10">
      <c r="B502" s="25" t="str">
        <f ca="1">IFERROR(__xludf.DUMMYFUNCTION("""COMPUTED_VALUE"""),"MUNICIPALIDAD DISTRITAL")</f>
        <v>MUNICIPALIDAD DISTRITAL</v>
      </c>
      <c r="C502" s="25" t="str">
        <f ca="1">IFERROR(__xludf.DUMMYFUNCTION("""COMPUTED_VALUE"""),"MUNICIPALIDAD DISTRITAL DE UNION PROGRESO")</f>
        <v>MUNICIPALIDAD DISTRITAL DE UNION PROGRESO</v>
      </c>
      <c r="D502" s="25" t="str">
        <f ca="1">IFERROR(__xludf.DUMMYFUNCTION("""COMPUTED_VALUE"""),"ICA")</f>
        <v>ICA</v>
      </c>
      <c r="E502" s="25" t="str">
        <f ca="1">IFERROR(__xludf.DUMMYFUNCTION("""COMPUTED_VALUE"""),"AYACUCHO")</f>
        <v>AYACUCHO</v>
      </c>
      <c r="F502" s="25" t="str">
        <f ca="1">IFERROR(__xludf.DUMMYFUNCTION("""COMPUTED_VALUE"""),"LA MAR")</f>
        <v>LA MAR</v>
      </c>
      <c r="G502" s="25" t="str">
        <f ca="1">IFERROR(__xludf.DUMMYFUNCTION("""COMPUTED_VALUE"""),"UNIÓN PROGRESO")</f>
        <v>UNIÓN PROGRESO</v>
      </c>
      <c r="H502" s="25" t="str">
        <f ca="1">IFERROR(__xludf.DUMMYFUNCTION("""COMPUTED_VALUE"""),"RURAL")</f>
        <v>RURAL</v>
      </c>
      <c r="I502" s="25" t="str">
        <f ca="1">IFERROR(__xludf.DUMMYFUNCTION("""COMPUTED_VALUE"""),"Prioridad 5")</f>
        <v>Prioridad 5</v>
      </c>
      <c r="J502" s="43" t="s">
        <v>262</v>
      </c>
    </row>
    <row r="503" spans="2:10">
      <c r="B503" s="25" t="str">
        <f ca="1">IFERROR(__xludf.DUMMYFUNCTION("""COMPUTED_VALUE"""),"MUNICIPALIDAD DISTRITAL")</f>
        <v>MUNICIPALIDAD DISTRITAL</v>
      </c>
      <c r="C503" s="25" t="str">
        <f ca="1">IFERROR(__xludf.DUMMYFUNCTION("""COMPUTED_VALUE"""),"MUNICIPALIDAD DISTRITAL DE RIO MAGDALENA")</f>
        <v>MUNICIPALIDAD DISTRITAL DE RIO MAGDALENA</v>
      </c>
      <c r="D503" s="25" t="str">
        <f ca="1">IFERROR(__xludf.DUMMYFUNCTION("""COMPUTED_VALUE"""),"ICA")</f>
        <v>ICA</v>
      </c>
      <c r="E503" s="25" t="str">
        <f ca="1">IFERROR(__xludf.DUMMYFUNCTION("""COMPUTED_VALUE"""),"AYACUCHO")</f>
        <v>AYACUCHO</v>
      </c>
      <c r="F503" s="25" t="str">
        <f ca="1">IFERROR(__xludf.DUMMYFUNCTION("""COMPUTED_VALUE"""),"LA MAR")</f>
        <v>LA MAR</v>
      </c>
      <c r="G503" s="25" t="str">
        <f ca="1">IFERROR(__xludf.DUMMYFUNCTION("""COMPUTED_VALUE"""),"RIO MAGDALENA")</f>
        <v>RIO MAGDALENA</v>
      </c>
      <c r="H503" s="25" t="str">
        <f ca="1">IFERROR(__xludf.DUMMYFUNCTION("""COMPUTED_VALUE"""),"RURAL")</f>
        <v>RURAL</v>
      </c>
      <c r="I503" s="25" t="str">
        <f ca="1">IFERROR(__xludf.DUMMYFUNCTION("""COMPUTED_VALUE"""),"Prioridad 5")</f>
        <v>Prioridad 5</v>
      </c>
      <c r="J503" s="43" t="s">
        <v>262</v>
      </c>
    </row>
    <row r="504" spans="2:10">
      <c r="B504" s="25" t="str">
        <f ca="1">IFERROR(__xludf.DUMMYFUNCTION("""COMPUTED_VALUE"""),"MUNICIPALIDAD DISTRITAL")</f>
        <v>MUNICIPALIDAD DISTRITAL</v>
      </c>
      <c r="C504" s="25" t="str">
        <f ca="1">IFERROR(__xludf.DUMMYFUNCTION("""COMPUTED_VALUE"""),"MUNICIPALIDAD DISTRITAL DE NINABAMBA EN AYACUCHO")</f>
        <v>MUNICIPALIDAD DISTRITAL DE NINABAMBA EN AYACUCHO</v>
      </c>
      <c r="D504" s="25" t="str">
        <f ca="1">IFERROR(__xludf.DUMMYFUNCTION("""COMPUTED_VALUE"""),"ICA")</f>
        <v>ICA</v>
      </c>
      <c r="E504" s="25" t="str">
        <f ca="1">IFERROR(__xludf.DUMMYFUNCTION("""COMPUTED_VALUE"""),"AYACUCHO")</f>
        <v>AYACUCHO</v>
      </c>
      <c r="F504" s="25" t="str">
        <f ca="1">IFERROR(__xludf.DUMMYFUNCTION("""COMPUTED_VALUE"""),"LA MAR")</f>
        <v>LA MAR</v>
      </c>
      <c r="G504" s="25" t="str">
        <f ca="1">IFERROR(__xludf.DUMMYFUNCTION("""COMPUTED_VALUE"""),"NINABAMBA")</f>
        <v>NINABAMBA</v>
      </c>
      <c r="H504" s="25" t="str">
        <f ca="1">IFERROR(__xludf.DUMMYFUNCTION("""COMPUTED_VALUE"""),"RURAL")</f>
        <v>RURAL</v>
      </c>
      <c r="I504" s="25" t="str">
        <f ca="1">IFERROR(__xludf.DUMMYFUNCTION("""COMPUTED_VALUE"""),"Prioridad 5")</f>
        <v>Prioridad 5</v>
      </c>
      <c r="J504" s="43" t="s">
        <v>262</v>
      </c>
    </row>
    <row r="505" spans="2:10">
      <c r="B505" s="25" t="str">
        <f ca="1">IFERROR(__xludf.DUMMYFUNCTION("""COMPUTED_VALUE"""),"MUNICIPALIDAD DISTRITAL")</f>
        <v>MUNICIPALIDAD DISTRITAL</v>
      </c>
      <c r="C505" s="25" t="str">
        <f ca="1">IFERROR(__xludf.DUMMYFUNCTION("""COMPUTED_VALUE"""),"MUNICIPALIDAD DISTRITAL DE PATIBAMBA")</f>
        <v>MUNICIPALIDAD DISTRITAL DE PATIBAMBA</v>
      </c>
      <c r="D505" s="25" t="str">
        <f ca="1">IFERROR(__xludf.DUMMYFUNCTION("""COMPUTED_VALUE"""),"ICA")</f>
        <v>ICA</v>
      </c>
      <c r="E505" s="25" t="str">
        <f ca="1">IFERROR(__xludf.DUMMYFUNCTION("""COMPUTED_VALUE"""),"AYACUCHO")</f>
        <v>AYACUCHO</v>
      </c>
      <c r="F505" s="25" t="str">
        <f ca="1">IFERROR(__xludf.DUMMYFUNCTION("""COMPUTED_VALUE"""),"LA MAR")</f>
        <v>LA MAR</v>
      </c>
      <c r="G505" s="25" t="str">
        <f ca="1">IFERROR(__xludf.DUMMYFUNCTION("""COMPUTED_VALUE"""),"PATIBAMBA")</f>
        <v>PATIBAMBA</v>
      </c>
      <c r="H505" s="25" t="str">
        <f ca="1">IFERROR(__xludf.DUMMYFUNCTION("""COMPUTED_VALUE"""),"RURAL")</f>
        <v>RURAL</v>
      </c>
      <c r="I505" s="25" t="str">
        <f ca="1">IFERROR(__xludf.DUMMYFUNCTION("""COMPUTED_VALUE"""),"Prioridad 5")</f>
        <v>Prioridad 5</v>
      </c>
      <c r="J505" s="43" t="s">
        <v>262</v>
      </c>
    </row>
    <row r="506" spans="2:10">
      <c r="B506" s="25" t="str">
        <f ca="1">IFERROR(__xludf.DUMMYFUNCTION("""COMPUTED_VALUE"""),"MUNICIPALIDAD PROVINCIAL")</f>
        <v>MUNICIPALIDAD PROVINCIAL</v>
      </c>
      <c r="C506" s="25" t="str">
        <f ca="1">IFERROR(__xludf.DUMMYFUNCTION("""COMPUTED_VALUE"""),"MUNICIPALIDAD PROVINCIAL DE LUCANAS")</f>
        <v>MUNICIPALIDAD PROVINCIAL DE LUCANAS</v>
      </c>
      <c r="D506" s="25" t="str">
        <f ca="1">IFERROR(__xludf.DUMMYFUNCTION("""COMPUTED_VALUE"""),"ICA")</f>
        <v>ICA</v>
      </c>
      <c r="E506" s="25" t="str">
        <f ca="1">IFERROR(__xludf.DUMMYFUNCTION("""COMPUTED_VALUE"""),"AYACUCHO")</f>
        <v>AYACUCHO</v>
      </c>
      <c r="F506" s="25" t="str">
        <f ca="1">IFERROR(__xludf.DUMMYFUNCTION("""COMPUTED_VALUE"""),"LUCANAS")</f>
        <v>LUCANAS</v>
      </c>
      <c r="G506" s="25" t="str">
        <f ca="1">IFERROR(__xludf.DUMMYFUNCTION("""COMPUTED_VALUE"""),"PUQUIO")</f>
        <v>PUQUIO</v>
      </c>
      <c r="H506" s="25" t="str">
        <f ca="1">IFERROR(__xludf.DUMMYFUNCTION("""COMPUTED_VALUE"""),"URBANO")</f>
        <v>URBANO</v>
      </c>
      <c r="I506" s="25" t="str">
        <f ca="1">IFERROR(__xludf.DUMMYFUNCTION("""COMPUTED_VALUE"""),"Prioridad 1")</f>
        <v>Prioridad 1</v>
      </c>
      <c r="J506" s="43" t="s">
        <v>262</v>
      </c>
    </row>
    <row r="507" spans="2:10">
      <c r="B507" s="25" t="str">
        <f ca="1">IFERROR(__xludf.DUMMYFUNCTION("""COMPUTED_VALUE"""),"MUNICIPALIDAD DISTRITAL")</f>
        <v>MUNICIPALIDAD DISTRITAL</v>
      </c>
      <c r="C507" s="25" t="str">
        <f ca="1">IFERROR(__xludf.DUMMYFUNCTION("""COMPUTED_VALUE"""),"MUNICIPALIDAD DISTRITAL DE AUCARA")</f>
        <v>MUNICIPALIDAD DISTRITAL DE AUCARA</v>
      </c>
      <c r="D507" s="25" t="str">
        <f ca="1">IFERROR(__xludf.DUMMYFUNCTION("""COMPUTED_VALUE"""),"ICA")</f>
        <v>ICA</v>
      </c>
      <c r="E507" s="25" t="str">
        <f ca="1">IFERROR(__xludf.DUMMYFUNCTION("""COMPUTED_VALUE"""),"AYACUCHO")</f>
        <v>AYACUCHO</v>
      </c>
      <c r="F507" s="25" t="str">
        <f ca="1">IFERROR(__xludf.DUMMYFUNCTION("""COMPUTED_VALUE"""),"LUCANAS")</f>
        <v>LUCANAS</v>
      </c>
      <c r="G507" s="25" t="str">
        <f ca="1">IFERROR(__xludf.DUMMYFUNCTION("""COMPUTED_VALUE"""),"AUCARA")</f>
        <v>AUCARA</v>
      </c>
      <c r="H507" s="25" t="str">
        <f ca="1">IFERROR(__xludf.DUMMYFUNCTION("""COMPUTED_VALUE"""),"URBANO")</f>
        <v>URBANO</v>
      </c>
      <c r="I507" s="25" t="str">
        <f ca="1">IFERROR(__xludf.DUMMYFUNCTION("""COMPUTED_VALUE"""),"Prioridad 4")</f>
        <v>Prioridad 4</v>
      </c>
      <c r="J507" s="43" t="s">
        <v>262</v>
      </c>
    </row>
    <row r="508" spans="2:10">
      <c r="B508" s="25" t="str">
        <f ca="1">IFERROR(__xludf.DUMMYFUNCTION("""COMPUTED_VALUE"""),"MUNICIPALIDAD DISTRITAL")</f>
        <v>MUNICIPALIDAD DISTRITAL</v>
      </c>
      <c r="C508" s="25" t="str">
        <f ca="1">IFERROR(__xludf.DUMMYFUNCTION("""COMPUTED_VALUE"""),"MUNICIPALIDAD DISTRITAL DE CABANA EN LUCANAS")</f>
        <v>MUNICIPALIDAD DISTRITAL DE CABANA EN LUCANAS</v>
      </c>
      <c r="D508" s="25" t="str">
        <f ca="1">IFERROR(__xludf.DUMMYFUNCTION("""COMPUTED_VALUE"""),"ICA")</f>
        <v>ICA</v>
      </c>
      <c r="E508" s="25" t="str">
        <f ca="1">IFERROR(__xludf.DUMMYFUNCTION("""COMPUTED_VALUE"""),"AYACUCHO")</f>
        <v>AYACUCHO</v>
      </c>
      <c r="F508" s="25" t="str">
        <f ca="1">IFERROR(__xludf.DUMMYFUNCTION("""COMPUTED_VALUE"""),"LUCANAS")</f>
        <v>LUCANAS</v>
      </c>
      <c r="G508" s="25" t="str">
        <f ca="1">IFERROR(__xludf.DUMMYFUNCTION("""COMPUTED_VALUE"""),"CABANA")</f>
        <v>CABANA</v>
      </c>
      <c r="H508" s="25" t="str">
        <f ca="1">IFERROR(__xludf.DUMMYFUNCTION("""COMPUTED_VALUE"""),"URBANO")</f>
        <v>URBANO</v>
      </c>
      <c r="I508" s="25" t="str">
        <f ca="1">IFERROR(__xludf.DUMMYFUNCTION("""COMPUTED_VALUE"""),"Prioridad 4")</f>
        <v>Prioridad 4</v>
      </c>
      <c r="J508" s="43" t="s">
        <v>262</v>
      </c>
    </row>
    <row r="509" spans="2:10">
      <c r="B509" s="25" t="str">
        <f ca="1">IFERROR(__xludf.DUMMYFUNCTION("""COMPUTED_VALUE"""),"MUNICIPALIDAD DISTRITAL")</f>
        <v>MUNICIPALIDAD DISTRITAL</v>
      </c>
      <c r="C509" s="25" t="str">
        <f ca="1">IFERROR(__xludf.DUMMYFUNCTION("""COMPUTED_VALUE"""),"MUNICIPALIDAD DISTRITAL DE CARMEN SALCEDO")</f>
        <v>MUNICIPALIDAD DISTRITAL DE CARMEN SALCEDO</v>
      </c>
      <c r="D509" s="25" t="str">
        <f ca="1">IFERROR(__xludf.DUMMYFUNCTION("""COMPUTED_VALUE"""),"ICA")</f>
        <v>ICA</v>
      </c>
      <c r="E509" s="25" t="str">
        <f ca="1">IFERROR(__xludf.DUMMYFUNCTION("""COMPUTED_VALUE"""),"AYACUCHO")</f>
        <v>AYACUCHO</v>
      </c>
      <c r="F509" s="25" t="str">
        <f ca="1">IFERROR(__xludf.DUMMYFUNCTION("""COMPUTED_VALUE"""),"LUCANAS")</f>
        <v>LUCANAS</v>
      </c>
      <c r="G509" s="25" t="str">
        <f ca="1">IFERROR(__xludf.DUMMYFUNCTION("""COMPUTED_VALUE"""),"CARMEN SALCEDO")</f>
        <v>CARMEN SALCEDO</v>
      </c>
      <c r="H509" s="25" t="str">
        <f ca="1">IFERROR(__xludf.DUMMYFUNCTION("""COMPUTED_VALUE"""),"RURAL")</f>
        <v>RURAL</v>
      </c>
      <c r="I509" s="25" t="str">
        <f ca="1">IFERROR(__xludf.DUMMYFUNCTION("""COMPUTED_VALUE"""),"Prioridad 4")</f>
        <v>Prioridad 4</v>
      </c>
      <c r="J509" s="43" t="s">
        <v>262</v>
      </c>
    </row>
    <row r="510" spans="2:10">
      <c r="B510" s="25" t="str">
        <f ca="1">IFERROR(__xludf.DUMMYFUNCTION("""COMPUTED_VALUE"""),"MUNICIPALIDAD DISTRITAL")</f>
        <v>MUNICIPALIDAD DISTRITAL</v>
      </c>
      <c r="C510" s="25" t="str">
        <f ca="1">IFERROR(__xludf.DUMMYFUNCTION("""COMPUTED_VALUE"""),"MUNICIPALIDAD DISTRITAL DE CHAVIÑA")</f>
        <v>MUNICIPALIDAD DISTRITAL DE CHAVIÑA</v>
      </c>
      <c r="D510" s="25" t="str">
        <f ca="1">IFERROR(__xludf.DUMMYFUNCTION("""COMPUTED_VALUE"""),"ICA")</f>
        <v>ICA</v>
      </c>
      <c r="E510" s="25" t="str">
        <f ca="1">IFERROR(__xludf.DUMMYFUNCTION("""COMPUTED_VALUE"""),"AYACUCHO")</f>
        <v>AYACUCHO</v>
      </c>
      <c r="F510" s="25" t="str">
        <f ca="1">IFERROR(__xludf.DUMMYFUNCTION("""COMPUTED_VALUE"""),"LUCANAS")</f>
        <v>LUCANAS</v>
      </c>
      <c r="G510" s="25" t="str">
        <f ca="1">IFERROR(__xludf.DUMMYFUNCTION("""COMPUTED_VALUE"""),"CHAVIÑA")</f>
        <v>CHAVIÑA</v>
      </c>
      <c r="H510" s="25" t="str">
        <f ca="1">IFERROR(__xludf.DUMMYFUNCTION("""COMPUTED_VALUE"""),"RURAL")</f>
        <v>RURAL</v>
      </c>
      <c r="I510" s="25" t="str">
        <f ca="1">IFERROR(__xludf.DUMMYFUNCTION("""COMPUTED_VALUE"""),"Prioridad 3")</f>
        <v>Prioridad 3</v>
      </c>
      <c r="J510" s="43" t="s">
        <v>262</v>
      </c>
    </row>
    <row r="511" spans="2:10">
      <c r="B511" s="25" t="str">
        <f ca="1">IFERROR(__xludf.DUMMYFUNCTION("""COMPUTED_VALUE"""),"MUNICIPALIDAD DISTRITAL")</f>
        <v>MUNICIPALIDAD DISTRITAL</v>
      </c>
      <c r="C511" s="25" t="str">
        <f ca="1">IFERROR(__xludf.DUMMYFUNCTION("""COMPUTED_VALUE"""),"MUNICIPALIDAD DISTRITAL DE CHIPAO")</f>
        <v>MUNICIPALIDAD DISTRITAL DE CHIPAO</v>
      </c>
      <c r="D511" s="25" t="str">
        <f ca="1">IFERROR(__xludf.DUMMYFUNCTION("""COMPUTED_VALUE"""),"ICA")</f>
        <v>ICA</v>
      </c>
      <c r="E511" s="25" t="str">
        <f ca="1">IFERROR(__xludf.DUMMYFUNCTION("""COMPUTED_VALUE"""),"AYACUCHO")</f>
        <v>AYACUCHO</v>
      </c>
      <c r="F511" s="25" t="str">
        <f ca="1">IFERROR(__xludf.DUMMYFUNCTION("""COMPUTED_VALUE"""),"LUCANAS")</f>
        <v>LUCANAS</v>
      </c>
      <c r="G511" s="25" t="str">
        <f ca="1">IFERROR(__xludf.DUMMYFUNCTION("""COMPUTED_VALUE"""),"CHIPAO")</f>
        <v>CHIPAO</v>
      </c>
      <c r="H511" s="25" t="str">
        <f ca="1">IFERROR(__xludf.DUMMYFUNCTION("""COMPUTED_VALUE"""),"RURAL")</f>
        <v>RURAL</v>
      </c>
      <c r="I511" s="25" t="str">
        <f ca="1">IFERROR(__xludf.DUMMYFUNCTION("""COMPUTED_VALUE"""),"Prioridad 4")</f>
        <v>Prioridad 4</v>
      </c>
      <c r="J511" s="43" t="s">
        <v>262</v>
      </c>
    </row>
    <row r="512" spans="2:10">
      <c r="B512" s="25" t="str">
        <f ca="1">IFERROR(__xludf.DUMMYFUNCTION("""COMPUTED_VALUE"""),"MUNICIPALIDAD DISTRITAL")</f>
        <v>MUNICIPALIDAD DISTRITAL</v>
      </c>
      <c r="C512" s="25" t="str">
        <f ca="1">IFERROR(__xludf.DUMMYFUNCTION("""COMPUTED_VALUE"""),"MUNICIPALIDAD DISTRITAL DE HUAC-HUAS")</f>
        <v>MUNICIPALIDAD DISTRITAL DE HUAC-HUAS</v>
      </c>
      <c r="D512" s="25" t="str">
        <f ca="1">IFERROR(__xludf.DUMMYFUNCTION("""COMPUTED_VALUE"""),"ICA")</f>
        <v>ICA</v>
      </c>
      <c r="E512" s="25" t="str">
        <f ca="1">IFERROR(__xludf.DUMMYFUNCTION("""COMPUTED_VALUE"""),"AYACUCHO")</f>
        <v>AYACUCHO</v>
      </c>
      <c r="F512" s="25" t="str">
        <f ca="1">IFERROR(__xludf.DUMMYFUNCTION("""COMPUTED_VALUE"""),"LUCANAS")</f>
        <v>LUCANAS</v>
      </c>
      <c r="G512" s="25" t="str">
        <f ca="1">IFERROR(__xludf.DUMMYFUNCTION("""COMPUTED_VALUE"""),"HUAC-HUAS")</f>
        <v>HUAC-HUAS</v>
      </c>
      <c r="H512" s="25" t="str">
        <f ca="1">IFERROR(__xludf.DUMMYFUNCTION("""COMPUTED_VALUE"""),"RURAL")</f>
        <v>RURAL</v>
      </c>
      <c r="I512" s="25" t="str">
        <f ca="1">IFERROR(__xludf.DUMMYFUNCTION("""COMPUTED_VALUE"""),"Prioridad 5")</f>
        <v>Prioridad 5</v>
      </c>
      <c r="J512" s="43" t="s">
        <v>262</v>
      </c>
    </row>
    <row r="513" spans="2:10">
      <c r="B513" s="25" t="str">
        <f ca="1">IFERROR(__xludf.DUMMYFUNCTION("""COMPUTED_VALUE"""),"MUNICIPALIDAD DISTRITAL")</f>
        <v>MUNICIPALIDAD DISTRITAL</v>
      </c>
      <c r="C513" s="25" t="str">
        <f ca="1">IFERROR(__xludf.DUMMYFUNCTION("""COMPUTED_VALUE"""),"MUNICIPALIDAD DISTRITAL DE LARAMATE")</f>
        <v>MUNICIPALIDAD DISTRITAL DE LARAMATE</v>
      </c>
      <c r="D513" s="25" t="str">
        <f ca="1">IFERROR(__xludf.DUMMYFUNCTION("""COMPUTED_VALUE"""),"ICA")</f>
        <v>ICA</v>
      </c>
      <c r="E513" s="25" t="str">
        <f ca="1">IFERROR(__xludf.DUMMYFUNCTION("""COMPUTED_VALUE"""),"AYACUCHO")</f>
        <v>AYACUCHO</v>
      </c>
      <c r="F513" s="25" t="str">
        <f ca="1">IFERROR(__xludf.DUMMYFUNCTION("""COMPUTED_VALUE"""),"LUCANAS")</f>
        <v>LUCANAS</v>
      </c>
      <c r="G513" s="25" t="str">
        <f ca="1">IFERROR(__xludf.DUMMYFUNCTION("""COMPUTED_VALUE"""),"LARAMATE")</f>
        <v>LARAMATE</v>
      </c>
      <c r="H513" s="25" t="str">
        <f ca="1">IFERROR(__xludf.DUMMYFUNCTION("""COMPUTED_VALUE"""),"RURAL")</f>
        <v>RURAL</v>
      </c>
      <c r="I513" s="25" t="str">
        <f ca="1">IFERROR(__xludf.DUMMYFUNCTION("""COMPUTED_VALUE"""),"Prioridad 5")</f>
        <v>Prioridad 5</v>
      </c>
      <c r="J513" s="43" t="s">
        <v>262</v>
      </c>
    </row>
    <row r="514" spans="2:10">
      <c r="B514" s="25" t="str">
        <f ca="1">IFERROR(__xludf.DUMMYFUNCTION("""COMPUTED_VALUE"""),"MUNICIPALIDAD DISTRITAL")</f>
        <v>MUNICIPALIDAD DISTRITAL</v>
      </c>
      <c r="C514" s="25" t="str">
        <f ca="1">IFERROR(__xludf.DUMMYFUNCTION("""COMPUTED_VALUE"""),"MUNICIPALIDAD DISTRITAL DE LEONCIO PRADO EN LUCANAS")</f>
        <v>MUNICIPALIDAD DISTRITAL DE LEONCIO PRADO EN LUCANAS</v>
      </c>
      <c r="D514" s="25" t="str">
        <f ca="1">IFERROR(__xludf.DUMMYFUNCTION("""COMPUTED_VALUE"""),"ICA")</f>
        <v>ICA</v>
      </c>
      <c r="E514" s="25" t="str">
        <f ca="1">IFERROR(__xludf.DUMMYFUNCTION("""COMPUTED_VALUE"""),"AYACUCHO")</f>
        <v>AYACUCHO</v>
      </c>
      <c r="F514" s="25" t="str">
        <f ca="1">IFERROR(__xludf.DUMMYFUNCTION("""COMPUTED_VALUE"""),"LUCANAS")</f>
        <v>LUCANAS</v>
      </c>
      <c r="G514" s="25" t="str">
        <f ca="1">IFERROR(__xludf.DUMMYFUNCTION("""COMPUTED_VALUE"""),"LEONCIO PRADO")</f>
        <v>LEONCIO PRADO</v>
      </c>
      <c r="H514" s="25" t="str">
        <f ca="1">IFERROR(__xludf.DUMMYFUNCTION("""COMPUTED_VALUE"""),"RURAL")</f>
        <v>RURAL</v>
      </c>
      <c r="I514" s="25" t="str">
        <f ca="1">IFERROR(__xludf.DUMMYFUNCTION("""COMPUTED_VALUE"""),"Prioridad 5")</f>
        <v>Prioridad 5</v>
      </c>
      <c r="J514" s="43" t="s">
        <v>262</v>
      </c>
    </row>
    <row r="515" spans="2:10">
      <c r="B515" s="25" t="str">
        <f ca="1">IFERROR(__xludf.DUMMYFUNCTION("""COMPUTED_VALUE"""),"MUNICIPALIDAD DISTRITAL")</f>
        <v>MUNICIPALIDAD DISTRITAL</v>
      </c>
      <c r="C515" s="25" t="str">
        <f ca="1">IFERROR(__xludf.DUMMYFUNCTION("""COMPUTED_VALUE"""),"MUNICIPALIDAD DISTRITAL DE LLAUTA")</f>
        <v>MUNICIPALIDAD DISTRITAL DE LLAUTA</v>
      </c>
      <c r="D515" s="25" t="str">
        <f ca="1">IFERROR(__xludf.DUMMYFUNCTION("""COMPUTED_VALUE"""),"ICA")</f>
        <v>ICA</v>
      </c>
      <c r="E515" s="25" t="str">
        <f ca="1">IFERROR(__xludf.DUMMYFUNCTION("""COMPUTED_VALUE"""),"AYACUCHO")</f>
        <v>AYACUCHO</v>
      </c>
      <c r="F515" s="25" t="str">
        <f ca="1">IFERROR(__xludf.DUMMYFUNCTION("""COMPUTED_VALUE"""),"LUCANAS")</f>
        <v>LUCANAS</v>
      </c>
      <c r="G515" s="25" t="str">
        <f ca="1">IFERROR(__xludf.DUMMYFUNCTION("""COMPUTED_VALUE"""),"LLAUTA")</f>
        <v>LLAUTA</v>
      </c>
      <c r="H515" s="25" t="str">
        <f ca="1">IFERROR(__xludf.DUMMYFUNCTION("""COMPUTED_VALUE"""),"RURAL")</f>
        <v>RURAL</v>
      </c>
      <c r="I515" s="25" t="str">
        <f ca="1">IFERROR(__xludf.DUMMYFUNCTION("""COMPUTED_VALUE"""),"Prioridad 5")</f>
        <v>Prioridad 5</v>
      </c>
      <c r="J515" s="43" t="s">
        <v>262</v>
      </c>
    </row>
    <row r="516" spans="2:10">
      <c r="B516" s="25" t="str">
        <f ca="1">IFERROR(__xludf.DUMMYFUNCTION("""COMPUTED_VALUE"""),"MUNICIPALIDAD DISTRITAL")</f>
        <v>MUNICIPALIDAD DISTRITAL</v>
      </c>
      <c r="C516" s="25" t="str">
        <f ca="1">IFERROR(__xludf.DUMMYFUNCTION("""COMPUTED_VALUE"""),"MUNICIPALIDAD DISTRITAL DE LUCANAS")</f>
        <v>MUNICIPALIDAD DISTRITAL DE LUCANAS</v>
      </c>
      <c r="D516" s="25" t="str">
        <f ca="1">IFERROR(__xludf.DUMMYFUNCTION("""COMPUTED_VALUE"""),"ICA")</f>
        <v>ICA</v>
      </c>
      <c r="E516" s="25" t="str">
        <f ca="1">IFERROR(__xludf.DUMMYFUNCTION("""COMPUTED_VALUE"""),"AYACUCHO")</f>
        <v>AYACUCHO</v>
      </c>
      <c r="F516" s="25" t="str">
        <f ca="1">IFERROR(__xludf.DUMMYFUNCTION("""COMPUTED_VALUE"""),"LUCANAS")</f>
        <v>LUCANAS</v>
      </c>
      <c r="G516" s="25" t="str">
        <f ca="1">IFERROR(__xludf.DUMMYFUNCTION("""COMPUTED_VALUE"""),"LUCANAS")</f>
        <v>LUCANAS</v>
      </c>
      <c r="H516" s="25" t="str">
        <f ca="1">IFERROR(__xludf.DUMMYFUNCTION("""COMPUTED_VALUE"""),"RURAL")</f>
        <v>RURAL</v>
      </c>
      <c r="I516" s="25" t="str">
        <f ca="1">IFERROR(__xludf.DUMMYFUNCTION("""COMPUTED_VALUE"""),"Prioridad 3")</f>
        <v>Prioridad 3</v>
      </c>
      <c r="J516" s="43" t="s">
        <v>262</v>
      </c>
    </row>
    <row r="517" spans="2:10">
      <c r="B517" s="25" t="str">
        <f ca="1">IFERROR(__xludf.DUMMYFUNCTION("""COMPUTED_VALUE"""),"MUNICIPALIDAD DISTRITAL")</f>
        <v>MUNICIPALIDAD DISTRITAL</v>
      </c>
      <c r="C517" s="25" t="str">
        <f ca="1">IFERROR(__xludf.DUMMYFUNCTION("""COMPUTED_VALUE"""),"MUNICIPALIDAD DISTRITAL DE OCAÑA")</f>
        <v>MUNICIPALIDAD DISTRITAL DE OCAÑA</v>
      </c>
      <c r="D517" s="25" t="str">
        <f ca="1">IFERROR(__xludf.DUMMYFUNCTION("""COMPUTED_VALUE"""),"ICA")</f>
        <v>ICA</v>
      </c>
      <c r="E517" s="25" t="str">
        <f ca="1">IFERROR(__xludf.DUMMYFUNCTION("""COMPUTED_VALUE"""),"AYACUCHO")</f>
        <v>AYACUCHO</v>
      </c>
      <c r="F517" s="25" t="str">
        <f ca="1">IFERROR(__xludf.DUMMYFUNCTION("""COMPUTED_VALUE"""),"LUCANAS")</f>
        <v>LUCANAS</v>
      </c>
      <c r="G517" s="25" t="str">
        <f ca="1">IFERROR(__xludf.DUMMYFUNCTION("""COMPUTED_VALUE"""),"OCAÑA")</f>
        <v>OCAÑA</v>
      </c>
      <c r="H517" s="25" t="str">
        <f ca="1">IFERROR(__xludf.DUMMYFUNCTION("""COMPUTED_VALUE"""),"RURAL")</f>
        <v>RURAL</v>
      </c>
      <c r="I517" s="25" t="str">
        <f ca="1">IFERROR(__xludf.DUMMYFUNCTION("""COMPUTED_VALUE"""),"Prioridad 5")</f>
        <v>Prioridad 5</v>
      </c>
      <c r="J517" s="43" t="s">
        <v>262</v>
      </c>
    </row>
    <row r="518" spans="2:10">
      <c r="B518" s="25" t="str">
        <f ca="1">IFERROR(__xludf.DUMMYFUNCTION("""COMPUTED_VALUE"""),"MUNICIPALIDAD DISTRITAL")</f>
        <v>MUNICIPALIDAD DISTRITAL</v>
      </c>
      <c r="C518" s="25" t="str">
        <f ca="1">IFERROR(__xludf.DUMMYFUNCTION("""COMPUTED_VALUE"""),"MUNICIPALIDAD DISTRITAL DE OTOCA")</f>
        <v>MUNICIPALIDAD DISTRITAL DE OTOCA</v>
      </c>
      <c r="D518" s="25" t="str">
        <f ca="1">IFERROR(__xludf.DUMMYFUNCTION("""COMPUTED_VALUE"""),"ICA")</f>
        <v>ICA</v>
      </c>
      <c r="E518" s="25" t="str">
        <f ca="1">IFERROR(__xludf.DUMMYFUNCTION("""COMPUTED_VALUE"""),"AYACUCHO")</f>
        <v>AYACUCHO</v>
      </c>
      <c r="F518" s="25" t="str">
        <f ca="1">IFERROR(__xludf.DUMMYFUNCTION("""COMPUTED_VALUE"""),"LUCANAS")</f>
        <v>LUCANAS</v>
      </c>
      <c r="G518" s="25" t="str">
        <f ca="1">IFERROR(__xludf.DUMMYFUNCTION("""COMPUTED_VALUE"""),"OTOCA")</f>
        <v>OTOCA</v>
      </c>
      <c r="H518" s="25" t="str">
        <f ca="1">IFERROR(__xludf.DUMMYFUNCTION("""COMPUTED_VALUE"""),"RURAL")</f>
        <v>RURAL</v>
      </c>
      <c r="I518" s="25" t="str">
        <f ca="1">IFERROR(__xludf.DUMMYFUNCTION("""COMPUTED_VALUE"""),"Prioridad 5")</f>
        <v>Prioridad 5</v>
      </c>
      <c r="J518" s="43" t="s">
        <v>262</v>
      </c>
    </row>
    <row r="519" spans="2:10">
      <c r="B519" s="25" t="str">
        <f ca="1">IFERROR(__xludf.DUMMYFUNCTION("""COMPUTED_VALUE"""),"MUNICIPALIDAD DISTRITAL")</f>
        <v>MUNICIPALIDAD DISTRITAL</v>
      </c>
      <c r="C519" s="25" t="str">
        <f ca="1">IFERROR(__xludf.DUMMYFUNCTION("""COMPUTED_VALUE"""),"MUNICIPALIDAD DISTRITAL DE SAISA")</f>
        <v>MUNICIPALIDAD DISTRITAL DE SAISA</v>
      </c>
      <c r="D519" s="25" t="str">
        <f ca="1">IFERROR(__xludf.DUMMYFUNCTION("""COMPUTED_VALUE"""),"ICA")</f>
        <v>ICA</v>
      </c>
      <c r="E519" s="25" t="str">
        <f ca="1">IFERROR(__xludf.DUMMYFUNCTION("""COMPUTED_VALUE"""),"AYACUCHO")</f>
        <v>AYACUCHO</v>
      </c>
      <c r="F519" s="25" t="str">
        <f ca="1">IFERROR(__xludf.DUMMYFUNCTION("""COMPUTED_VALUE"""),"LUCANAS")</f>
        <v>LUCANAS</v>
      </c>
      <c r="G519" s="25" t="str">
        <f ca="1">IFERROR(__xludf.DUMMYFUNCTION("""COMPUTED_VALUE"""),"SAISA")</f>
        <v>SAISA</v>
      </c>
      <c r="H519" s="25" t="str">
        <f ca="1">IFERROR(__xludf.DUMMYFUNCTION("""COMPUTED_VALUE"""),"RURAL")</f>
        <v>RURAL</v>
      </c>
      <c r="I519" s="25" t="str">
        <f ca="1">IFERROR(__xludf.DUMMYFUNCTION("""COMPUTED_VALUE"""),"Prioridad 5")</f>
        <v>Prioridad 5</v>
      </c>
      <c r="J519" s="43" t="s">
        <v>262</v>
      </c>
    </row>
    <row r="520" spans="2:10">
      <c r="B520" s="25" t="str">
        <f ca="1">IFERROR(__xludf.DUMMYFUNCTION("""COMPUTED_VALUE"""),"MUNICIPALIDAD DISTRITAL")</f>
        <v>MUNICIPALIDAD DISTRITAL</v>
      </c>
      <c r="C520" s="25" t="str">
        <f ca="1">IFERROR(__xludf.DUMMYFUNCTION("""COMPUTED_VALUE"""),"MUNICIPALIDAD DISTRITAL DE SAN CRISTOBAL EN LUCANAS")</f>
        <v>MUNICIPALIDAD DISTRITAL DE SAN CRISTOBAL EN LUCANAS</v>
      </c>
      <c r="D520" s="25" t="str">
        <f ca="1">IFERROR(__xludf.DUMMYFUNCTION("""COMPUTED_VALUE"""),"ICA")</f>
        <v>ICA</v>
      </c>
      <c r="E520" s="25" t="str">
        <f ca="1">IFERROR(__xludf.DUMMYFUNCTION("""COMPUTED_VALUE"""),"AYACUCHO")</f>
        <v>AYACUCHO</v>
      </c>
      <c r="F520" s="25" t="str">
        <f ca="1">IFERROR(__xludf.DUMMYFUNCTION("""COMPUTED_VALUE"""),"LUCANAS")</f>
        <v>LUCANAS</v>
      </c>
      <c r="G520" s="25" t="str">
        <f ca="1">IFERROR(__xludf.DUMMYFUNCTION("""COMPUTED_VALUE"""),"SAN CRISTOBAL")</f>
        <v>SAN CRISTOBAL</v>
      </c>
      <c r="H520" s="25" t="str">
        <f ca="1">IFERROR(__xludf.DUMMYFUNCTION("""COMPUTED_VALUE"""),"RURAL")</f>
        <v>RURAL</v>
      </c>
      <c r="I520" s="25" t="str">
        <f ca="1">IFERROR(__xludf.DUMMYFUNCTION("""COMPUTED_VALUE"""),"Prioridad 4")</f>
        <v>Prioridad 4</v>
      </c>
      <c r="J520" s="43" t="s">
        <v>262</v>
      </c>
    </row>
    <row r="521" spans="2:10">
      <c r="B521" s="25" t="str">
        <f ca="1">IFERROR(__xludf.DUMMYFUNCTION("""COMPUTED_VALUE"""),"MUNICIPALIDAD DISTRITAL")</f>
        <v>MUNICIPALIDAD DISTRITAL</v>
      </c>
      <c r="C521" s="25" t="str">
        <f ca="1">IFERROR(__xludf.DUMMYFUNCTION("""COMPUTED_VALUE"""),"MUNICIPALIDAD DISTRITAL DE SAN JUAN EN LUCANAS")</f>
        <v>MUNICIPALIDAD DISTRITAL DE SAN JUAN EN LUCANAS</v>
      </c>
      <c r="D521" s="25" t="str">
        <f ca="1">IFERROR(__xludf.DUMMYFUNCTION("""COMPUTED_VALUE"""),"ICA")</f>
        <v>ICA</v>
      </c>
      <c r="E521" s="25" t="str">
        <f ca="1">IFERROR(__xludf.DUMMYFUNCTION("""COMPUTED_VALUE"""),"AYACUCHO")</f>
        <v>AYACUCHO</v>
      </c>
      <c r="F521" s="25" t="str">
        <f ca="1">IFERROR(__xludf.DUMMYFUNCTION("""COMPUTED_VALUE"""),"LUCANAS")</f>
        <v>LUCANAS</v>
      </c>
      <c r="G521" s="25" t="str">
        <f ca="1">IFERROR(__xludf.DUMMYFUNCTION("""COMPUTED_VALUE"""),"SAN JUAN")</f>
        <v>SAN JUAN</v>
      </c>
      <c r="H521" s="25" t="str">
        <f ca="1">IFERROR(__xludf.DUMMYFUNCTION("""COMPUTED_VALUE"""),"RURAL")</f>
        <v>RURAL</v>
      </c>
      <c r="I521" s="25" t="str">
        <f ca="1">IFERROR(__xludf.DUMMYFUNCTION("""COMPUTED_VALUE"""),"Prioridad 4")</f>
        <v>Prioridad 4</v>
      </c>
      <c r="J521" s="43" t="s">
        <v>262</v>
      </c>
    </row>
    <row r="522" spans="2:10">
      <c r="B522" s="25" t="str">
        <f ca="1">IFERROR(__xludf.DUMMYFUNCTION("""COMPUTED_VALUE"""),"MUNICIPALIDAD DISTRITAL")</f>
        <v>MUNICIPALIDAD DISTRITAL</v>
      </c>
      <c r="C522" s="25" t="str">
        <f ca="1">IFERROR(__xludf.DUMMYFUNCTION("""COMPUTED_VALUE"""),"MUNICIPALIDAD DISTRITAL DE SAN PEDRO EN LUCANAS")</f>
        <v>MUNICIPALIDAD DISTRITAL DE SAN PEDRO EN LUCANAS</v>
      </c>
      <c r="D522" s="25" t="str">
        <f ca="1">IFERROR(__xludf.DUMMYFUNCTION("""COMPUTED_VALUE"""),"ICA")</f>
        <v>ICA</v>
      </c>
      <c r="E522" s="25" t="str">
        <f ca="1">IFERROR(__xludf.DUMMYFUNCTION("""COMPUTED_VALUE"""),"AYACUCHO")</f>
        <v>AYACUCHO</v>
      </c>
      <c r="F522" s="25" t="str">
        <f ca="1">IFERROR(__xludf.DUMMYFUNCTION("""COMPUTED_VALUE"""),"LUCANAS")</f>
        <v>LUCANAS</v>
      </c>
      <c r="G522" s="25" t="str">
        <f ca="1">IFERROR(__xludf.DUMMYFUNCTION("""COMPUTED_VALUE"""),"SAN PEDRO")</f>
        <v>SAN PEDRO</v>
      </c>
      <c r="H522" s="25" t="str">
        <f ca="1">IFERROR(__xludf.DUMMYFUNCTION("""COMPUTED_VALUE"""),"RURAL")</f>
        <v>RURAL</v>
      </c>
      <c r="I522" s="25" t="str">
        <f ca="1">IFERROR(__xludf.DUMMYFUNCTION("""COMPUTED_VALUE"""),"Prioridad 4")</f>
        <v>Prioridad 4</v>
      </c>
      <c r="J522" s="43" t="s">
        <v>262</v>
      </c>
    </row>
    <row r="523" spans="2:10">
      <c r="B523" s="25" t="str">
        <f ca="1">IFERROR(__xludf.DUMMYFUNCTION("""COMPUTED_VALUE"""),"MUNICIPALIDAD DISTRITAL")</f>
        <v>MUNICIPALIDAD DISTRITAL</v>
      </c>
      <c r="C523" s="25" t="str">
        <f ca="1">IFERROR(__xludf.DUMMYFUNCTION("""COMPUTED_VALUE"""),"MUNICIPALIDAD DISTRITAL DE SAN PEDRO DE PALCO")</f>
        <v>MUNICIPALIDAD DISTRITAL DE SAN PEDRO DE PALCO</v>
      </c>
      <c r="D523" s="25" t="str">
        <f ca="1">IFERROR(__xludf.DUMMYFUNCTION("""COMPUTED_VALUE"""),"ICA")</f>
        <v>ICA</v>
      </c>
      <c r="E523" s="25" t="str">
        <f ca="1">IFERROR(__xludf.DUMMYFUNCTION("""COMPUTED_VALUE"""),"AYACUCHO")</f>
        <v>AYACUCHO</v>
      </c>
      <c r="F523" s="25" t="str">
        <f ca="1">IFERROR(__xludf.DUMMYFUNCTION("""COMPUTED_VALUE"""),"LUCANAS")</f>
        <v>LUCANAS</v>
      </c>
      <c r="G523" s="25" t="str">
        <f ca="1">IFERROR(__xludf.DUMMYFUNCTION("""COMPUTED_VALUE"""),"SAN PEDRO DE PALCO")</f>
        <v>SAN PEDRO DE PALCO</v>
      </c>
      <c r="H523" s="25" t="str">
        <f ca="1">IFERROR(__xludf.DUMMYFUNCTION("""COMPUTED_VALUE"""),"RURAL")</f>
        <v>RURAL</v>
      </c>
      <c r="I523" s="25" t="str">
        <f ca="1">IFERROR(__xludf.DUMMYFUNCTION("""COMPUTED_VALUE"""),"Prioridad 5")</f>
        <v>Prioridad 5</v>
      </c>
      <c r="J523" s="43" t="s">
        <v>262</v>
      </c>
    </row>
    <row r="524" spans="2:10">
      <c r="B524" s="25" t="str">
        <f ca="1">IFERROR(__xludf.DUMMYFUNCTION("""COMPUTED_VALUE"""),"MUNICIPALIDAD DISTRITAL")</f>
        <v>MUNICIPALIDAD DISTRITAL</v>
      </c>
      <c r="C524" s="25" t="str">
        <f ca="1">IFERROR(__xludf.DUMMYFUNCTION("""COMPUTED_VALUE"""),"MUNICIPALIDAD DISTRITAL DE SANCOS")</f>
        <v>MUNICIPALIDAD DISTRITAL DE SANCOS</v>
      </c>
      <c r="D524" s="25" t="str">
        <f ca="1">IFERROR(__xludf.DUMMYFUNCTION("""COMPUTED_VALUE"""),"ICA")</f>
        <v>ICA</v>
      </c>
      <c r="E524" s="25" t="str">
        <f ca="1">IFERROR(__xludf.DUMMYFUNCTION("""COMPUTED_VALUE"""),"AYACUCHO")</f>
        <v>AYACUCHO</v>
      </c>
      <c r="F524" s="25" t="str">
        <f ca="1">IFERROR(__xludf.DUMMYFUNCTION("""COMPUTED_VALUE"""),"LUCANAS")</f>
        <v>LUCANAS</v>
      </c>
      <c r="G524" s="25" t="str">
        <f ca="1">IFERROR(__xludf.DUMMYFUNCTION("""COMPUTED_VALUE"""),"SANCOS")</f>
        <v>SANCOS</v>
      </c>
      <c r="H524" s="25" t="str">
        <f ca="1">IFERROR(__xludf.DUMMYFUNCTION("""COMPUTED_VALUE"""),"URBANO")</f>
        <v>URBANO</v>
      </c>
      <c r="I524" s="25" t="str">
        <f ca="1">IFERROR(__xludf.DUMMYFUNCTION("""COMPUTED_VALUE"""),"Prioridad 3")</f>
        <v>Prioridad 3</v>
      </c>
      <c r="J524" s="43" t="s">
        <v>262</v>
      </c>
    </row>
    <row r="525" spans="2:10">
      <c r="B525" s="25" t="str">
        <f ca="1">IFERROR(__xludf.DUMMYFUNCTION("""COMPUTED_VALUE"""),"MUNICIPALIDAD DISTRITAL")</f>
        <v>MUNICIPALIDAD DISTRITAL</v>
      </c>
      <c r="C525" s="25" t="str">
        <f ca="1">IFERROR(__xludf.DUMMYFUNCTION("""COMPUTED_VALUE"""),"MUNICIPALIDAD DISTRITAL DE SANTA ANA DE HUAYCAHUACHO")</f>
        <v>MUNICIPALIDAD DISTRITAL DE SANTA ANA DE HUAYCAHUACHO</v>
      </c>
      <c r="D525" s="25" t="str">
        <f ca="1">IFERROR(__xludf.DUMMYFUNCTION("""COMPUTED_VALUE"""),"ICA")</f>
        <v>ICA</v>
      </c>
      <c r="E525" s="25" t="str">
        <f ca="1">IFERROR(__xludf.DUMMYFUNCTION("""COMPUTED_VALUE"""),"AYACUCHO")</f>
        <v>AYACUCHO</v>
      </c>
      <c r="F525" s="25" t="str">
        <f ca="1">IFERROR(__xludf.DUMMYFUNCTION("""COMPUTED_VALUE"""),"LUCANAS")</f>
        <v>LUCANAS</v>
      </c>
      <c r="G525" s="25" t="str">
        <f ca="1">IFERROR(__xludf.DUMMYFUNCTION("""COMPUTED_VALUE"""),"SANTA ANA DE HUAYCAHUACHO")</f>
        <v>SANTA ANA DE HUAYCAHUACHO</v>
      </c>
      <c r="H525" s="25" t="str">
        <f ca="1">IFERROR(__xludf.DUMMYFUNCTION("""COMPUTED_VALUE"""),"RURAL")</f>
        <v>RURAL</v>
      </c>
      <c r="I525" s="25" t="str">
        <f ca="1">IFERROR(__xludf.DUMMYFUNCTION("""COMPUTED_VALUE"""),"Prioridad 4")</f>
        <v>Prioridad 4</v>
      </c>
      <c r="J525" s="43" t="s">
        <v>262</v>
      </c>
    </row>
    <row r="526" spans="2:10">
      <c r="B526" s="25" t="str">
        <f ca="1">IFERROR(__xludf.DUMMYFUNCTION("""COMPUTED_VALUE"""),"MUNICIPALIDAD DISTRITAL")</f>
        <v>MUNICIPALIDAD DISTRITAL</v>
      </c>
      <c r="C526" s="25" t="str">
        <f ca="1">IFERROR(__xludf.DUMMYFUNCTION("""COMPUTED_VALUE"""),"MUNICIPALIDAD DISTRITAL DE SANTA LUCIA EN LUCANAS")</f>
        <v>MUNICIPALIDAD DISTRITAL DE SANTA LUCIA EN LUCANAS</v>
      </c>
      <c r="D526" s="25" t="str">
        <f ca="1">IFERROR(__xludf.DUMMYFUNCTION("""COMPUTED_VALUE"""),"ICA")</f>
        <v>ICA</v>
      </c>
      <c r="E526" s="25" t="str">
        <f ca="1">IFERROR(__xludf.DUMMYFUNCTION("""COMPUTED_VALUE"""),"AYACUCHO")</f>
        <v>AYACUCHO</v>
      </c>
      <c r="F526" s="25" t="str">
        <f ca="1">IFERROR(__xludf.DUMMYFUNCTION("""COMPUTED_VALUE"""),"LUCANAS")</f>
        <v>LUCANAS</v>
      </c>
      <c r="G526" s="25" t="str">
        <f ca="1">IFERROR(__xludf.DUMMYFUNCTION("""COMPUTED_VALUE"""),"SANTA LUCIA")</f>
        <v>SANTA LUCIA</v>
      </c>
      <c r="H526" s="25" t="str">
        <f ca="1">IFERROR(__xludf.DUMMYFUNCTION("""COMPUTED_VALUE"""),"RURAL")</f>
        <v>RURAL</v>
      </c>
      <c r="I526" s="25" t="str">
        <f ca="1">IFERROR(__xludf.DUMMYFUNCTION("""COMPUTED_VALUE"""),"Prioridad 2")</f>
        <v>Prioridad 2</v>
      </c>
      <c r="J526" s="43" t="s">
        <v>262</v>
      </c>
    </row>
    <row r="527" spans="2:10">
      <c r="B527" s="25" t="str">
        <f ca="1">IFERROR(__xludf.DUMMYFUNCTION("""COMPUTED_VALUE"""),"MUNICIPALIDAD PROVINCIAL")</f>
        <v>MUNICIPALIDAD PROVINCIAL</v>
      </c>
      <c r="C527" s="25" t="str">
        <f ca="1">IFERROR(__xludf.DUMMYFUNCTION("""COMPUTED_VALUE"""),"MUNICIPALIDAD PROVINCIAL DE PARINACOCHAS")</f>
        <v>MUNICIPALIDAD PROVINCIAL DE PARINACOCHAS</v>
      </c>
      <c r="D527" s="25" t="str">
        <f ca="1">IFERROR(__xludf.DUMMYFUNCTION("""COMPUTED_VALUE"""),"ICA")</f>
        <v>ICA</v>
      </c>
      <c r="E527" s="25" t="str">
        <f ca="1">IFERROR(__xludf.DUMMYFUNCTION("""COMPUTED_VALUE"""),"AYACUCHO")</f>
        <v>AYACUCHO</v>
      </c>
      <c r="F527" s="25" t="str">
        <f ca="1">IFERROR(__xludf.DUMMYFUNCTION("""COMPUTED_VALUE"""),"PARINACOCHAS")</f>
        <v>PARINACOCHAS</v>
      </c>
      <c r="G527" s="25" t="str">
        <f ca="1">IFERROR(__xludf.DUMMYFUNCTION("""COMPUTED_VALUE"""),"CORACORA")</f>
        <v>CORACORA</v>
      </c>
      <c r="H527" s="25" t="str">
        <f ca="1">IFERROR(__xludf.DUMMYFUNCTION("""COMPUTED_VALUE"""),"URBANO")</f>
        <v>URBANO</v>
      </c>
      <c r="I527" s="25" t="str">
        <f ca="1">IFERROR(__xludf.DUMMYFUNCTION("""COMPUTED_VALUE"""),"Prioridad 2")</f>
        <v>Prioridad 2</v>
      </c>
      <c r="J527" s="43" t="s">
        <v>262</v>
      </c>
    </row>
    <row r="528" spans="2:10">
      <c r="B528" s="25" t="str">
        <f ca="1">IFERROR(__xludf.DUMMYFUNCTION("""COMPUTED_VALUE"""),"MUNICIPALIDAD DISTRITAL")</f>
        <v>MUNICIPALIDAD DISTRITAL</v>
      </c>
      <c r="C528" s="25" t="str">
        <f ca="1">IFERROR(__xludf.DUMMYFUNCTION("""COMPUTED_VALUE"""),"MUNICIPALIDAD DISTRITAL DE CHUMPI")</f>
        <v>MUNICIPALIDAD DISTRITAL DE CHUMPI</v>
      </c>
      <c r="D528" s="25" t="str">
        <f ca="1">IFERROR(__xludf.DUMMYFUNCTION("""COMPUTED_VALUE"""),"ICA")</f>
        <v>ICA</v>
      </c>
      <c r="E528" s="25" t="str">
        <f ca="1">IFERROR(__xludf.DUMMYFUNCTION("""COMPUTED_VALUE"""),"AYACUCHO")</f>
        <v>AYACUCHO</v>
      </c>
      <c r="F528" s="25" t="str">
        <f ca="1">IFERROR(__xludf.DUMMYFUNCTION("""COMPUTED_VALUE"""),"PARINACOCHAS")</f>
        <v>PARINACOCHAS</v>
      </c>
      <c r="G528" s="25" t="str">
        <f ca="1">IFERROR(__xludf.DUMMYFUNCTION("""COMPUTED_VALUE"""),"CHUMPI")</f>
        <v>CHUMPI</v>
      </c>
      <c r="H528" s="25" t="str">
        <f ca="1">IFERROR(__xludf.DUMMYFUNCTION("""COMPUTED_VALUE"""),"RURAL")</f>
        <v>RURAL</v>
      </c>
      <c r="I528" s="25" t="str">
        <f ca="1">IFERROR(__xludf.DUMMYFUNCTION("""COMPUTED_VALUE"""),"Prioridad 4")</f>
        <v>Prioridad 4</v>
      </c>
      <c r="J528" s="43" t="s">
        <v>262</v>
      </c>
    </row>
    <row r="529" spans="2:10">
      <c r="B529" s="25" t="str">
        <f ca="1">IFERROR(__xludf.DUMMYFUNCTION("""COMPUTED_VALUE"""),"MUNICIPALIDAD DISTRITAL")</f>
        <v>MUNICIPALIDAD DISTRITAL</v>
      </c>
      <c r="C529" s="25" t="str">
        <f ca="1">IFERROR(__xludf.DUMMYFUNCTION("""COMPUTED_VALUE"""),"MUNICIPALIDAD DISTRITAL DE CORONEL CASTAÑEDA")</f>
        <v>MUNICIPALIDAD DISTRITAL DE CORONEL CASTAÑEDA</v>
      </c>
      <c r="D529" s="25" t="str">
        <f ca="1">IFERROR(__xludf.DUMMYFUNCTION("""COMPUTED_VALUE"""),"ICA")</f>
        <v>ICA</v>
      </c>
      <c r="E529" s="25" t="str">
        <f ca="1">IFERROR(__xludf.DUMMYFUNCTION("""COMPUTED_VALUE"""),"AYACUCHO")</f>
        <v>AYACUCHO</v>
      </c>
      <c r="F529" s="25" t="str">
        <f ca="1">IFERROR(__xludf.DUMMYFUNCTION("""COMPUTED_VALUE"""),"PARINACOCHAS")</f>
        <v>PARINACOCHAS</v>
      </c>
      <c r="G529" s="25" t="str">
        <f ca="1">IFERROR(__xludf.DUMMYFUNCTION("""COMPUTED_VALUE"""),"CORONEL CASTAÑEDA")</f>
        <v>CORONEL CASTAÑEDA</v>
      </c>
      <c r="H529" s="25" t="str">
        <f ca="1">IFERROR(__xludf.DUMMYFUNCTION("""COMPUTED_VALUE"""),"RURAL")</f>
        <v>RURAL</v>
      </c>
      <c r="I529" s="25" t="str">
        <f ca="1">IFERROR(__xludf.DUMMYFUNCTION("""COMPUTED_VALUE"""),"Prioridad 5")</f>
        <v>Prioridad 5</v>
      </c>
      <c r="J529" s="43" t="s">
        <v>262</v>
      </c>
    </row>
    <row r="530" spans="2:10">
      <c r="B530" s="25" t="str">
        <f ca="1">IFERROR(__xludf.DUMMYFUNCTION("""COMPUTED_VALUE"""),"MUNICIPALIDAD DISTRITAL")</f>
        <v>MUNICIPALIDAD DISTRITAL</v>
      </c>
      <c r="C530" s="25" t="str">
        <f ca="1">IFERROR(__xludf.DUMMYFUNCTION("""COMPUTED_VALUE"""),"MUNICIPALIDAD DISTRITAL DE PACAPAUSA")</f>
        <v>MUNICIPALIDAD DISTRITAL DE PACAPAUSA</v>
      </c>
      <c r="D530" s="25" t="str">
        <f ca="1">IFERROR(__xludf.DUMMYFUNCTION("""COMPUTED_VALUE"""),"ICA")</f>
        <v>ICA</v>
      </c>
      <c r="E530" s="25" t="str">
        <f ca="1">IFERROR(__xludf.DUMMYFUNCTION("""COMPUTED_VALUE"""),"AYACUCHO")</f>
        <v>AYACUCHO</v>
      </c>
      <c r="F530" s="25" t="str">
        <f ca="1">IFERROR(__xludf.DUMMYFUNCTION("""COMPUTED_VALUE"""),"PARINACOCHAS")</f>
        <v>PARINACOCHAS</v>
      </c>
      <c r="G530" s="25" t="str">
        <f ca="1">IFERROR(__xludf.DUMMYFUNCTION("""COMPUTED_VALUE"""),"PACAPAUSA")</f>
        <v>PACAPAUSA</v>
      </c>
      <c r="H530" s="25" t="str">
        <f ca="1">IFERROR(__xludf.DUMMYFUNCTION("""COMPUTED_VALUE"""),"RURAL")</f>
        <v>RURAL</v>
      </c>
      <c r="I530" s="25" t="str">
        <f ca="1">IFERROR(__xludf.DUMMYFUNCTION("""COMPUTED_VALUE"""),"Prioridad 5")</f>
        <v>Prioridad 5</v>
      </c>
      <c r="J530" s="43" t="s">
        <v>262</v>
      </c>
    </row>
    <row r="531" spans="2:10">
      <c r="B531" s="25" t="str">
        <f ca="1">IFERROR(__xludf.DUMMYFUNCTION("""COMPUTED_VALUE"""),"MUNICIPALIDAD DISTRITAL")</f>
        <v>MUNICIPALIDAD DISTRITAL</v>
      </c>
      <c r="C531" s="25" t="str">
        <f ca="1">IFERROR(__xludf.DUMMYFUNCTION("""COMPUTED_VALUE"""),"MUNICIPALIDAD DISTRITAL DE PULLO")</f>
        <v>MUNICIPALIDAD DISTRITAL DE PULLO</v>
      </c>
      <c r="D531" s="25" t="str">
        <f ca="1">IFERROR(__xludf.DUMMYFUNCTION("""COMPUTED_VALUE"""),"ICA")</f>
        <v>ICA</v>
      </c>
      <c r="E531" s="25" t="str">
        <f ca="1">IFERROR(__xludf.DUMMYFUNCTION("""COMPUTED_VALUE"""),"AYACUCHO")</f>
        <v>AYACUCHO</v>
      </c>
      <c r="F531" s="25" t="str">
        <f ca="1">IFERROR(__xludf.DUMMYFUNCTION("""COMPUTED_VALUE"""),"PARINACOCHAS")</f>
        <v>PARINACOCHAS</v>
      </c>
      <c r="G531" s="25" t="str">
        <f ca="1">IFERROR(__xludf.DUMMYFUNCTION("""COMPUTED_VALUE"""),"PULLO")</f>
        <v>PULLO</v>
      </c>
      <c r="H531" s="25" t="str">
        <f ca="1">IFERROR(__xludf.DUMMYFUNCTION("""COMPUTED_VALUE"""),"URBANO")</f>
        <v>URBANO</v>
      </c>
      <c r="I531" s="25" t="str">
        <f ca="1">IFERROR(__xludf.DUMMYFUNCTION("""COMPUTED_VALUE"""),"Prioridad 2")</f>
        <v>Prioridad 2</v>
      </c>
      <c r="J531" s="43" t="s">
        <v>262</v>
      </c>
    </row>
    <row r="532" spans="2:10">
      <c r="B532" s="25" t="str">
        <f ca="1">IFERROR(__xludf.DUMMYFUNCTION("""COMPUTED_VALUE"""),"MUNICIPALIDAD DISTRITAL")</f>
        <v>MUNICIPALIDAD DISTRITAL</v>
      </c>
      <c r="C532" s="25" t="str">
        <f ca="1">IFERROR(__xludf.DUMMYFUNCTION("""COMPUTED_VALUE"""),"MUNICIPALIDAD DISTRITAL DE PUYUSCA")</f>
        <v>MUNICIPALIDAD DISTRITAL DE PUYUSCA</v>
      </c>
      <c r="D532" s="25" t="str">
        <f ca="1">IFERROR(__xludf.DUMMYFUNCTION("""COMPUTED_VALUE"""),"ICA")</f>
        <v>ICA</v>
      </c>
      <c r="E532" s="25" t="str">
        <f ca="1">IFERROR(__xludf.DUMMYFUNCTION("""COMPUTED_VALUE"""),"AYACUCHO")</f>
        <v>AYACUCHO</v>
      </c>
      <c r="F532" s="25" t="str">
        <f ca="1">IFERROR(__xludf.DUMMYFUNCTION("""COMPUTED_VALUE"""),"PARINACOCHAS")</f>
        <v>PARINACOCHAS</v>
      </c>
      <c r="G532" s="25" t="str">
        <f ca="1">IFERROR(__xludf.DUMMYFUNCTION("""COMPUTED_VALUE"""),"PUYUSCA")</f>
        <v>PUYUSCA</v>
      </c>
      <c r="H532" s="25" t="str">
        <f ca="1">IFERROR(__xludf.DUMMYFUNCTION("""COMPUTED_VALUE"""),"RURAL")</f>
        <v>RURAL</v>
      </c>
      <c r="I532" s="25" t="str">
        <f ca="1">IFERROR(__xludf.DUMMYFUNCTION("""COMPUTED_VALUE"""),"Prioridad 3")</f>
        <v>Prioridad 3</v>
      </c>
      <c r="J532" s="43" t="s">
        <v>262</v>
      </c>
    </row>
    <row r="533" spans="2:10">
      <c r="B533" s="25" t="str">
        <f ca="1">IFERROR(__xludf.DUMMYFUNCTION("""COMPUTED_VALUE"""),"MUNICIPALIDAD DISTRITAL")</f>
        <v>MUNICIPALIDAD DISTRITAL</v>
      </c>
      <c r="C533" s="25" t="str">
        <f ca="1">IFERROR(__xludf.DUMMYFUNCTION("""COMPUTED_VALUE"""),"MUNICIPALIDAD DISTRITAL DE SAN FRANCISCO DE RAVACAYCO")</f>
        <v>MUNICIPALIDAD DISTRITAL DE SAN FRANCISCO DE RAVACAYCO</v>
      </c>
      <c r="D533" s="25" t="str">
        <f ca="1">IFERROR(__xludf.DUMMYFUNCTION("""COMPUTED_VALUE"""),"ICA")</f>
        <v>ICA</v>
      </c>
      <c r="E533" s="25" t="str">
        <f ca="1">IFERROR(__xludf.DUMMYFUNCTION("""COMPUTED_VALUE"""),"AYACUCHO")</f>
        <v>AYACUCHO</v>
      </c>
      <c r="F533" s="25" t="str">
        <f ca="1">IFERROR(__xludf.DUMMYFUNCTION("""COMPUTED_VALUE"""),"PARINACOCHAS")</f>
        <v>PARINACOCHAS</v>
      </c>
      <c r="G533" s="25" t="str">
        <f ca="1">IFERROR(__xludf.DUMMYFUNCTION("""COMPUTED_VALUE"""),"SAN FRANCISCO DE RAVACAYCO")</f>
        <v>SAN FRANCISCO DE RAVACAYCO</v>
      </c>
      <c r="H533" s="25" t="str">
        <f ca="1">IFERROR(__xludf.DUMMYFUNCTION("""COMPUTED_VALUE"""),"RURAL")</f>
        <v>RURAL</v>
      </c>
      <c r="I533" s="25" t="str">
        <f ca="1">IFERROR(__xludf.DUMMYFUNCTION("""COMPUTED_VALUE"""),"Prioridad 3")</f>
        <v>Prioridad 3</v>
      </c>
      <c r="J533" s="43" t="s">
        <v>262</v>
      </c>
    </row>
    <row r="534" spans="2:10">
      <c r="B534" s="25" t="str">
        <f ca="1">IFERROR(__xludf.DUMMYFUNCTION("""COMPUTED_VALUE"""),"MUNICIPALIDAD DISTRITAL")</f>
        <v>MUNICIPALIDAD DISTRITAL</v>
      </c>
      <c r="C534" s="25" t="str">
        <f ca="1">IFERROR(__xludf.DUMMYFUNCTION("""COMPUTED_VALUE"""),"MUNICIPALIDAD DISTRITAL DE UPAHUACHO")</f>
        <v>MUNICIPALIDAD DISTRITAL DE UPAHUACHO</v>
      </c>
      <c r="D534" s="25" t="str">
        <f ca="1">IFERROR(__xludf.DUMMYFUNCTION("""COMPUTED_VALUE"""),"ICA")</f>
        <v>ICA</v>
      </c>
      <c r="E534" s="25" t="str">
        <f ca="1">IFERROR(__xludf.DUMMYFUNCTION("""COMPUTED_VALUE"""),"AYACUCHO")</f>
        <v>AYACUCHO</v>
      </c>
      <c r="F534" s="25" t="str">
        <f ca="1">IFERROR(__xludf.DUMMYFUNCTION("""COMPUTED_VALUE"""),"PARINACOCHAS")</f>
        <v>PARINACOCHAS</v>
      </c>
      <c r="G534" s="25" t="str">
        <f ca="1">IFERROR(__xludf.DUMMYFUNCTION("""COMPUTED_VALUE"""),"UPAHUACHO")</f>
        <v>UPAHUACHO</v>
      </c>
      <c r="H534" s="25" t="str">
        <f ca="1">IFERROR(__xludf.DUMMYFUNCTION("""COMPUTED_VALUE"""),"RURAL")</f>
        <v>RURAL</v>
      </c>
      <c r="I534" s="25" t="str">
        <f ca="1">IFERROR(__xludf.DUMMYFUNCTION("""COMPUTED_VALUE"""),"Prioridad 5")</f>
        <v>Prioridad 5</v>
      </c>
      <c r="J534" s="43" t="s">
        <v>262</v>
      </c>
    </row>
    <row r="535" spans="2:10">
      <c r="B535" s="25" t="str">
        <f ca="1">IFERROR(__xludf.DUMMYFUNCTION("""COMPUTED_VALUE"""),"MUNICIPALIDAD PROVINCIAL")</f>
        <v>MUNICIPALIDAD PROVINCIAL</v>
      </c>
      <c r="C535" s="25" t="str">
        <f ca="1">IFERROR(__xludf.DUMMYFUNCTION("""COMPUTED_VALUE"""),"MUNICIPALIDAD PROVINCIAL DE PAUCAR DEL SARA SARA")</f>
        <v>MUNICIPALIDAD PROVINCIAL DE PAUCAR DEL SARA SARA</v>
      </c>
      <c r="D535" s="25" t="str">
        <f ca="1">IFERROR(__xludf.DUMMYFUNCTION("""COMPUTED_VALUE"""),"AREQUIPA")</f>
        <v>AREQUIPA</v>
      </c>
      <c r="E535" s="25" t="str">
        <f ca="1">IFERROR(__xludf.DUMMYFUNCTION("""COMPUTED_VALUE"""),"AYACUCHO")</f>
        <v>AYACUCHO</v>
      </c>
      <c r="F535" s="25" t="str">
        <f ca="1">IFERROR(__xludf.DUMMYFUNCTION("""COMPUTED_VALUE"""),"PAUCAR DEL SARA SARA")</f>
        <v>PAUCAR DEL SARA SARA</v>
      </c>
      <c r="G535" s="25" t="str">
        <f ca="1">IFERROR(__xludf.DUMMYFUNCTION("""COMPUTED_VALUE"""),"PAUSA")</f>
        <v>PAUSA</v>
      </c>
      <c r="H535" s="25" t="str">
        <f ca="1">IFERROR(__xludf.DUMMYFUNCTION("""COMPUTED_VALUE"""),"URBANO")</f>
        <v>URBANO</v>
      </c>
      <c r="I535" s="25" t="str">
        <f ca="1">IFERROR(__xludf.DUMMYFUNCTION("""COMPUTED_VALUE"""),"Prioridad 1")</f>
        <v>Prioridad 1</v>
      </c>
      <c r="J535" s="43" t="s">
        <v>262</v>
      </c>
    </row>
    <row r="536" spans="2:10">
      <c r="B536" s="25" t="str">
        <f ca="1">IFERROR(__xludf.DUMMYFUNCTION("""COMPUTED_VALUE"""),"MUNICIPALIDAD DISTRITAL")</f>
        <v>MUNICIPALIDAD DISTRITAL</v>
      </c>
      <c r="C536" s="25" t="str">
        <f ca="1">IFERROR(__xludf.DUMMYFUNCTION("""COMPUTED_VALUE"""),"MUNICIPALIDAD DISTRITAL DE COLTA")</f>
        <v>MUNICIPALIDAD DISTRITAL DE COLTA</v>
      </c>
      <c r="D536" s="25" t="str">
        <f ca="1">IFERROR(__xludf.DUMMYFUNCTION("""COMPUTED_VALUE"""),"AREQUIPA")</f>
        <v>AREQUIPA</v>
      </c>
      <c r="E536" s="25" t="str">
        <f ca="1">IFERROR(__xludf.DUMMYFUNCTION("""COMPUTED_VALUE"""),"AYACUCHO")</f>
        <v>AYACUCHO</v>
      </c>
      <c r="F536" s="25" t="str">
        <f ca="1">IFERROR(__xludf.DUMMYFUNCTION("""COMPUTED_VALUE"""),"PAUCAR DEL SARA SARA")</f>
        <v>PAUCAR DEL SARA SARA</v>
      </c>
      <c r="G536" s="25" t="str">
        <f ca="1">IFERROR(__xludf.DUMMYFUNCTION("""COMPUTED_VALUE"""),"COLTA")</f>
        <v>COLTA</v>
      </c>
      <c r="H536" s="25" t="str">
        <f ca="1">IFERROR(__xludf.DUMMYFUNCTION("""COMPUTED_VALUE"""),"RURAL")</f>
        <v>RURAL</v>
      </c>
      <c r="I536" s="25" t="str">
        <f ca="1">IFERROR(__xludf.DUMMYFUNCTION("""COMPUTED_VALUE"""),"Prioridad 5")</f>
        <v>Prioridad 5</v>
      </c>
      <c r="J536" s="43" t="s">
        <v>262</v>
      </c>
    </row>
    <row r="537" spans="2:10">
      <c r="B537" s="25" t="str">
        <f ca="1">IFERROR(__xludf.DUMMYFUNCTION("""COMPUTED_VALUE"""),"MUNICIPALIDAD DISTRITAL")</f>
        <v>MUNICIPALIDAD DISTRITAL</v>
      </c>
      <c r="C537" s="25" t="str">
        <f ca="1">IFERROR(__xludf.DUMMYFUNCTION("""COMPUTED_VALUE"""),"MUNICIPALIDAD DISTRITAL DE CORCULLA")</f>
        <v>MUNICIPALIDAD DISTRITAL DE CORCULLA</v>
      </c>
      <c r="D537" s="25" t="str">
        <f ca="1">IFERROR(__xludf.DUMMYFUNCTION("""COMPUTED_VALUE"""),"AREQUIPA")</f>
        <v>AREQUIPA</v>
      </c>
      <c r="E537" s="25" t="str">
        <f ca="1">IFERROR(__xludf.DUMMYFUNCTION("""COMPUTED_VALUE"""),"AYACUCHO")</f>
        <v>AYACUCHO</v>
      </c>
      <c r="F537" s="25" t="str">
        <f ca="1">IFERROR(__xludf.DUMMYFUNCTION("""COMPUTED_VALUE"""),"PAUCAR DEL SARA SARA")</f>
        <v>PAUCAR DEL SARA SARA</v>
      </c>
      <c r="G537" s="25" t="str">
        <f ca="1">IFERROR(__xludf.DUMMYFUNCTION("""COMPUTED_VALUE"""),"CORCULLA")</f>
        <v>CORCULLA</v>
      </c>
      <c r="H537" s="25" t="str">
        <f ca="1">IFERROR(__xludf.DUMMYFUNCTION("""COMPUTED_VALUE"""),"RURAL")</f>
        <v>RURAL</v>
      </c>
      <c r="I537" s="25" t="str">
        <f ca="1">IFERROR(__xludf.DUMMYFUNCTION("""COMPUTED_VALUE"""),"Prioridad 5")</f>
        <v>Prioridad 5</v>
      </c>
      <c r="J537" s="43" t="s">
        <v>262</v>
      </c>
    </row>
    <row r="538" spans="2:10">
      <c r="B538" s="25" t="str">
        <f ca="1">IFERROR(__xludf.DUMMYFUNCTION("""COMPUTED_VALUE"""),"MUNICIPALIDAD DISTRITAL")</f>
        <v>MUNICIPALIDAD DISTRITAL</v>
      </c>
      <c r="C538" s="25" t="str">
        <f ca="1">IFERROR(__xludf.DUMMYFUNCTION("""COMPUTED_VALUE"""),"MUNICIPALIDAD DISTRITAL DE LAMPA")</f>
        <v>MUNICIPALIDAD DISTRITAL DE LAMPA</v>
      </c>
      <c r="D538" s="25" t="str">
        <f ca="1">IFERROR(__xludf.DUMMYFUNCTION("""COMPUTED_VALUE"""),"AREQUIPA")</f>
        <v>AREQUIPA</v>
      </c>
      <c r="E538" s="25" t="str">
        <f ca="1">IFERROR(__xludf.DUMMYFUNCTION("""COMPUTED_VALUE"""),"AYACUCHO")</f>
        <v>AYACUCHO</v>
      </c>
      <c r="F538" s="25" t="str">
        <f ca="1">IFERROR(__xludf.DUMMYFUNCTION("""COMPUTED_VALUE"""),"PAUCAR DEL SARA SARA")</f>
        <v>PAUCAR DEL SARA SARA</v>
      </c>
      <c r="G538" s="25" t="str">
        <f ca="1">IFERROR(__xludf.DUMMYFUNCTION("""COMPUTED_VALUE"""),"LAMPA")</f>
        <v>LAMPA</v>
      </c>
      <c r="H538" s="25" t="str">
        <f ca="1">IFERROR(__xludf.DUMMYFUNCTION("""COMPUTED_VALUE"""),"RURAL")</f>
        <v>RURAL</v>
      </c>
      <c r="I538" s="25" t="str">
        <f ca="1">IFERROR(__xludf.DUMMYFUNCTION("""COMPUTED_VALUE"""),"Prioridad 2")</f>
        <v>Prioridad 2</v>
      </c>
      <c r="J538" s="43" t="s">
        <v>262</v>
      </c>
    </row>
    <row r="539" spans="2:10">
      <c r="B539" s="25" t="str">
        <f ca="1">IFERROR(__xludf.DUMMYFUNCTION("""COMPUTED_VALUE"""),"MUNICIPALIDAD DISTRITAL")</f>
        <v>MUNICIPALIDAD DISTRITAL</v>
      </c>
      <c r="C539" s="25" t="str">
        <f ca="1">IFERROR(__xludf.DUMMYFUNCTION("""COMPUTED_VALUE"""),"MUNICIPALIDAD DISTRITAL DE MARCABAMBA")</f>
        <v>MUNICIPALIDAD DISTRITAL DE MARCABAMBA</v>
      </c>
      <c r="D539" s="25" t="str">
        <f ca="1">IFERROR(__xludf.DUMMYFUNCTION("""COMPUTED_VALUE"""),"AREQUIPA")</f>
        <v>AREQUIPA</v>
      </c>
      <c r="E539" s="25" t="str">
        <f ca="1">IFERROR(__xludf.DUMMYFUNCTION("""COMPUTED_VALUE"""),"AYACUCHO")</f>
        <v>AYACUCHO</v>
      </c>
      <c r="F539" s="25" t="str">
        <f ca="1">IFERROR(__xludf.DUMMYFUNCTION("""COMPUTED_VALUE"""),"PAUCAR DEL SARA SARA")</f>
        <v>PAUCAR DEL SARA SARA</v>
      </c>
      <c r="G539" s="25" t="str">
        <f ca="1">IFERROR(__xludf.DUMMYFUNCTION("""COMPUTED_VALUE"""),"MARCABAMBA")</f>
        <v>MARCABAMBA</v>
      </c>
      <c r="H539" s="25" t="str">
        <f ca="1">IFERROR(__xludf.DUMMYFUNCTION("""COMPUTED_VALUE"""),"RURAL")</f>
        <v>RURAL</v>
      </c>
      <c r="I539" s="25" t="str">
        <f ca="1">IFERROR(__xludf.DUMMYFUNCTION("""COMPUTED_VALUE"""),"Prioridad 2")</f>
        <v>Prioridad 2</v>
      </c>
      <c r="J539" s="43" t="s">
        <v>262</v>
      </c>
    </row>
    <row r="540" spans="2:10">
      <c r="B540" s="25" t="str">
        <f ca="1">IFERROR(__xludf.DUMMYFUNCTION("""COMPUTED_VALUE"""),"MUNICIPALIDAD DISTRITAL")</f>
        <v>MUNICIPALIDAD DISTRITAL</v>
      </c>
      <c r="C540" s="25" t="str">
        <f ca="1">IFERROR(__xludf.DUMMYFUNCTION("""COMPUTED_VALUE"""),"MUNICIPALIDAD DISTRITAL DE OYOLO")</f>
        <v>MUNICIPALIDAD DISTRITAL DE OYOLO</v>
      </c>
      <c r="D540" s="25" t="str">
        <f ca="1">IFERROR(__xludf.DUMMYFUNCTION("""COMPUTED_VALUE"""),"AREQUIPA")</f>
        <v>AREQUIPA</v>
      </c>
      <c r="E540" s="25" t="str">
        <f ca="1">IFERROR(__xludf.DUMMYFUNCTION("""COMPUTED_VALUE"""),"AYACUCHO")</f>
        <v>AYACUCHO</v>
      </c>
      <c r="F540" s="25" t="str">
        <f ca="1">IFERROR(__xludf.DUMMYFUNCTION("""COMPUTED_VALUE"""),"PAUCAR DEL SARA SARA")</f>
        <v>PAUCAR DEL SARA SARA</v>
      </c>
      <c r="G540" s="25" t="str">
        <f ca="1">IFERROR(__xludf.DUMMYFUNCTION("""COMPUTED_VALUE"""),"OYOLO")</f>
        <v>OYOLO</v>
      </c>
      <c r="H540" s="25" t="str">
        <f ca="1">IFERROR(__xludf.DUMMYFUNCTION("""COMPUTED_VALUE"""),"RURAL")</f>
        <v>RURAL</v>
      </c>
      <c r="I540" s="25" t="str">
        <f ca="1">IFERROR(__xludf.DUMMYFUNCTION("""COMPUTED_VALUE"""),"Prioridad 3")</f>
        <v>Prioridad 3</v>
      </c>
      <c r="J540" s="43" t="s">
        <v>262</v>
      </c>
    </row>
    <row r="541" spans="2:10">
      <c r="B541" s="25" t="str">
        <f ca="1">IFERROR(__xludf.DUMMYFUNCTION("""COMPUTED_VALUE"""),"MUNICIPALIDAD DISTRITAL")</f>
        <v>MUNICIPALIDAD DISTRITAL</v>
      </c>
      <c r="C541" s="25" t="str">
        <f ca="1">IFERROR(__xludf.DUMMYFUNCTION("""COMPUTED_VALUE"""),"MUNICIPALIDAD DISTRITAL DE PARARCA")</f>
        <v>MUNICIPALIDAD DISTRITAL DE PARARCA</v>
      </c>
      <c r="D541" s="25" t="str">
        <f ca="1">IFERROR(__xludf.DUMMYFUNCTION("""COMPUTED_VALUE"""),"AREQUIPA")</f>
        <v>AREQUIPA</v>
      </c>
      <c r="E541" s="25" t="str">
        <f ca="1">IFERROR(__xludf.DUMMYFUNCTION("""COMPUTED_VALUE"""),"AYACUCHO")</f>
        <v>AYACUCHO</v>
      </c>
      <c r="F541" s="25" t="str">
        <f ca="1">IFERROR(__xludf.DUMMYFUNCTION("""COMPUTED_VALUE"""),"PAUCAR DEL SARA SARA")</f>
        <v>PAUCAR DEL SARA SARA</v>
      </c>
      <c r="G541" s="25" t="str">
        <f ca="1">IFERROR(__xludf.DUMMYFUNCTION("""COMPUTED_VALUE"""),"PARARCA")</f>
        <v>PARARCA</v>
      </c>
      <c r="H541" s="25" t="str">
        <f ca="1">IFERROR(__xludf.DUMMYFUNCTION("""COMPUTED_VALUE"""),"RURAL")</f>
        <v>RURAL</v>
      </c>
      <c r="I541" s="25" t="str">
        <f ca="1">IFERROR(__xludf.DUMMYFUNCTION("""COMPUTED_VALUE"""),"Prioridad 5")</f>
        <v>Prioridad 5</v>
      </c>
      <c r="J541" s="43" t="s">
        <v>262</v>
      </c>
    </row>
    <row r="542" spans="2:10">
      <c r="B542" s="25" t="str">
        <f ca="1">IFERROR(__xludf.DUMMYFUNCTION("""COMPUTED_VALUE"""),"MUNICIPALIDAD DISTRITAL")</f>
        <v>MUNICIPALIDAD DISTRITAL</v>
      </c>
      <c r="C542" s="25" t="str">
        <f ca="1">IFERROR(__xludf.DUMMYFUNCTION("""COMPUTED_VALUE"""),"MUNICIPALIDAD DISTRITAL DE SAN JAVIER DE ALPABAMBA")</f>
        <v>MUNICIPALIDAD DISTRITAL DE SAN JAVIER DE ALPABAMBA</v>
      </c>
      <c r="D542" s="25" t="str">
        <f ca="1">IFERROR(__xludf.DUMMYFUNCTION("""COMPUTED_VALUE"""),"AREQUIPA")</f>
        <v>AREQUIPA</v>
      </c>
      <c r="E542" s="25" t="str">
        <f ca="1">IFERROR(__xludf.DUMMYFUNCTION("""COMPUTED_VALUE"""),"AYACUCHO")</f>
        <v>AYACUCHO</v>
      </c>
      <c r="F542" s="25" t="str">
        <f ca="1">IFERROR(__xludf.DUMMYFUNCTION("""COMPUTED_VALUE"""),"PAUCAR DEL SARA SARA")</f>
        <v>PAUCAR DEL SARA SARA</v>
      </c>
      <c r="G542" s="25" t="str">
        <f ca="1">IFERROR(__xludf.DUMMYFUNCTION("""COMPUTED_VALUE"""),"SAN JAVIER DE ALPABAMBA")</f>
        <v>SAN JAVIER DE ALPABAMBA</v>
      </c>
      <c r="H542" s="25" t="str">
        <f ca="1">IFERROR(__xludf.DUMMYFUNCTION("""COMPUTED_VALUE"""),"RURAL")</f>
        <v>RURAL</v>
      </c>
      <c r="I542" s="25" t="str">
        <f ca="1">IFERROR(__xludf.DUMMYFUNCTION("""COMPUTED_VALUE"""),"Prioridad 3")</f>
        <v>Prioridad 3</v>
      </c>
      <c r="J542" s="43" t="s">
        <v>262</v>
      </c>
    </row>
    <row r="543" spans="2:10">
      <c r="B543" s="25" t="str">
        <f ca="1">IFERROR(__xludf.DUMMYFUNCTION("""COMPUTED_VALUE"""),"MUNICIPALIDAD DISTRITAL")</f>
        <v>MUNICIPALIDAD DISTRITAL</v>
      </c>
      <c r="C543" s="25" t="str">
        <f ca="1">IFERROR(__xludf.DUMMYFUNCTION("""COMPUTED_VALUE"""),"MUNICIPALIDAD DISTRITAL DE SAN JOSE DE USHUA")</f>
        <v>MUNICIPALIDAD DISTRITAL DE SAN JOSE DE USHUA</v>
      </c>
      <c r="D543" s="25" t="str">
        <f ca="1">IFERROR(__xludf.DUMMYFUNCTION("""COMPUTED_VALUE"""),"AREQUIPA")</f>
        <v>AREQUIPA</v>
      </c>
      <c r="E543" s="25" t="str">
        <f ca="1">IFERROR(__xludf.DUMMYFUNCTION("""COMPUTED_VALUE"""),"AYACUCHO")</f>
        <v>AYACUCHO</v>
      </c>
      <c r="F543" s="25" t="str">
        <f ca="1">IFERROR(__xludf.DUMMYFUNCTION("""COMPUTED_VALUE"""),"PAUCAR DEL SARA SARA")</f>
        <v>PAUCAR DEL SARA SARA</v>
      </c>
      <c r="G543" s="25" t="str">
        <f ca="1">IFERROR(__xludf.DUMMYFUNCTION("""COMPUTED_VALUE"""),"SAN JOSE DE USHUA")</f>
        <v>SAN JOSE DE USHUA</v>
      </c>
      <c r="H543" s="25" t="str">
        <f ca="1">IFERROR(__xludf.DUMMYFUNCTION("""COMPUTED_VALUE"""),"RURAL")</f>
        <v>RURAL</v>
      </c>
      <c r="I543" s="25" t="str">
        <f ca="1">IFERROR(__xludf.DUMMYFUNCTION("""COMPUTED_VALUE"""),"Prioridad 3")</f>
        <v>Prioridad 3</v>
      </c>
      <c r="J543" s="43" t="s">
        <v>262</v>
      </c>
    </row>
    <row r="544" spans="2:10">
      <c r="B544" s="25" t="str">
        <f ca="1">IFERROR(__xludf.DUMMYFUNCTION("""COMPUTED_VALUE"""),"MUNICIPALIDAD DISTRITAL")</f>
        <v>MUNICIPALIDAD DISTRITAL</v>
      </c>
      <c r="C544" s="25" t="str">
        <f ca="1">IFERROR(__xludf.DUMMYFUNCTION("""COMPUTED_VALUE"""),"MUNICIPALIDAD DISTRITAL DE SARA SARA")</f>
        <v>MUNICIPALIDAD DISTRITAL DE SARA SARA</v>
      </c>
      <c r="D544" s="25" t="str">
        <f ca="1">IFERROR(__xludf.DUMMYFUNCTION("""COMPUTED_VALUE"""),"AREQUIPA")</f>
        <v>AREQUIPA</v>
      </c>
      <c r="E544" s="25" t="str">
        <f ca="1">IFERROR(__xludf.DUMMYFUNCTION("""COMPUTED_VALUE"""),"AYACUCHO")</f>
        <v>AYACUCHO</v>
      </c>
      <c r="F544" s="25" t="str">
        <f ca="1">IFERROR(__xludf.DUMMYFUNCTION("""COMPUTED_VALUE"""),"PAUCAR DEL SARA SARA")</f>
        <v>PAUCAR DEL SARA SARA</v>
      </c>
      <c r="G544" s="25" t="str">
        <f ca="1">IFERROR(__xludf.DUMMYFUNCTION("""COMPUTED_VALUE"""),"SARA SARA")</f>
        <v>SARA SARA</v>
      </c>
      <c r="H544" s="25" t="str">
        <f ca="1">IFERROR(__xludf.DUMMYFUNCTION("""COMPUTED_VALUE"""),"RURAL")</f>
        <v>RURAL</v>
      </c>
      <c r="I544" s="25" t="str">
        <f ca="1">IFERROR(__xludf.DUMMYFUNCTION("""COMPUTED_VALUE"""),"Prioridad 4")</f>
        <v>Prioridad 4</v>
      </c>
      <c r="J544" s="43" t="s">
        <v>262</v>
      </c>
    </row>
    <row r="545" spans="2:10">
      <c r="B545" s="25" t="str">
        <f ca="1">IFERROR(__xludf.DUMMYFUNCTION("""COMPUTED_VALUE"""),"MUNICIPALIDAD PROVINCIAL")</f>
        <v>MUNICIPALIDAD PROVINCIAL</v>
      </c>
      <c r="C545" s="25" t="str">
        <f ca="1">IFERROR(__xludf.DUMMYFUNCTION("""COMPUTED_VALUE"""),"MUNICIPALIDAD PROVINCIAL DE SUCRE")</f>
        <v>MUNICIPALIDAD PROVINCIAL DE SUCRE</v>
      </c>
      <c r="D545" s="25" t="str">
        <f ca="1">IFERROR(__xludf.DUMMYFUNCTION("""COMPUTED_VALUE"""),"ICA")</f>
        <v>ICA</v>
      </c>
      <c r="E545" s="25" t="str">
        <f ca="1">IFERROR(__xludf.DUMMYFUNCTION("""COMPUTED_VALUE"""),"AYACUCHO")</f>
        <v>AYACUCHO</v>
      </c>
      <c r="F545" s="25" t="str">
        <f ca="1">IFERROR(__xludf.DUMMYFUNCTION("""COMPUTED_VALUE"""),"SUCRE")</f>
        <v>SUCRE</v>
      </c>
      <c r="G545" s="25" t="str">
        <f ca="1">IFERROR(__xludf.DUMMYFUNCTION("""COMPUTED_VALUE"""),"QUEROBAMBA")</f>
        <v>QUEROBAMBA</v>
      </c>
      <c r="H545" s="25" t="str">
        <f ca="1">IFERROR(__xludf.DUMMYFUNCTION("""COMPUTED_VALUE"""),"URBANO")</f>
        <v>URBANO</v>
      </c>
      <c r="I545" s="25" t="str">
        <f ca="1">IFERROR(__xludf.DUMMYFUNCTION("""COMPUTED_VALUE"""),"Prioridad 1")</f>
        <v>Prioridad 1</v>
      </c>
      <c r="J545" s="43" t="s">
        <v>262</v>
      </c>
    </row>
    <row r="546" spans="2:10">
      <c r="B546" s="25" t="str">
        <f ca="1">IFERROR(__xludf.DUMMYFUNCTION("""COMPUTED_VALUE"""),"MUNICIPALIDAD DISTRITAL")</f>
        <v>MUNICIPALIDAD DISTRITAL</v>
      </c>
      <c r="C546" s="25" t="str">
        <f ca="1">IFERROR(__xludf.DUMMYFUNCTION("""COMPUTED_VALUE"""),"MUNICIPALIDAD DISTRITAL DE BELEN EN SUCRE")</f>
        <v>MUNICIPALIDAD DISTRITAL DE BELEN EN SUCRE</v>
      </c>
      <c r="D546" s="25" t="str">
        <f ca="1">IFERROR(__xludf.DUMMYFUNCTION("""COMPUTED_VALUE"""),"ICA")</f>
        <v>ICA</v>
      </c>
      <c r="E546" s="25" t="str">
        <f ca="1">IFERROR(__xludf.DUMMYFUNCTION("""COMPUTED_VALUE"""),"AYACUCHO")</f>
        <v>AYACUCHO</v>
      </c>
      <c r="F546" s="25" t="str">
        <f ca="1">IFERROR(__xludf.DUMMYFUNCTION("""COMPUTED_VALUE"""),"SUCRE")</f>
        <v>SUCRE</v>
      </c>
      <c r="G546" s="25" t="str">
        <f ca="1">IFERROR(__xludf.DUMMYFUNCTION("""COMPUTED_VALUE"""),"BELEN")</f>
        <v>BELEN</v>
      </c>
      <c r="H546" s="25" t="str">
        <f ca="1">IFERROR(__xludf.DUMMYFUNCTION("""COMPUTED_VALUE"""),"RURAL")</f>
        <v>RURAL</v>
      </c>
      <c r="I546" s="25" t="str">
        <f ca="1">IFERROR(__xludf.DUMMYFUNCTION("""COMPUTED_VALUE"""),"Prioridad 5")</f>
        <v>Prioridad 5</v>
      </c>
      <c r="J546" s="43" t="s">
        <v>262</v>
      </c>
    </row>
    <row r="547" spans="2:10">
      <c r="B547" s="25" t="str">
        <f ca="1">IFERROR(__xludf.DUMMYFUNCTION("""COMPUTED_VALUE"""),"MUNICIPALIDAD DISTRITAL")</f>
        <v>MUNICIPALIDAD DISTRITAL</v>
      </c>
      <c r="C547" s="25" t="str">
        <f ca="1">IFERROR(__xludf.DUMMYFUNCTION("""COMPUTED_VALUE"""),"MUNICIPALIDAD DISTRITAL DE CHALCOS")</f>
        <v>MUNICIPALIDAD DISTRITAL DE CHALCOS</v>
      </c>
      <c r="D547" s="25" t="str">
        <f ca="1">IFERROR(__xludf.DUMMYFUNCTION("""COMPUTED_VALUE"""),"ICA")</f>
        <v>ICA</v>
      </c>
      <c r="E547" s="25" t="str">
        <f ca="1">IFERROR(__xludf.DUMMYFUNCTION("""COMPUTED_VALUE"""),"AYACUCHO")</f>
        <v>AYACUCHO</v>
      </c>
      <c r="F547" s="25" t="str">
        <f ca="1">IFERROR(__xludf.DUMMYFUNCTION("""COMPUTED_VALUE"""),"SUCRE")</f>
        <v>SUCRE</v>
      </c>
      <c r="G547" s="25" t="str">
        <f ca="1">IFERROR(__xludf.DUMMYFUNCTION("""COMPUTED_VALUE"""),"CHALCOS")</f>
        <v>CHALCOS</v>
      </c>
      <c r="H547" s="25" t="str">
        <f ca="1">IFERROR(__xludf.DUMMYFUNCTION("""COMPUTED_VALUE"""),"RURAL")</f>
        <v>RURAL</v>
      </c>
      <c r="I547" s="25" t="str">
        <f ca="1">IFERROR(__xludf.DUMMYFUNCTION("""COMPUTED_VALUE"""),"Prioridad 3")</f>
        <v>Prioridad 3</v>
      </c>
      <c r="J547" s="43" t="s">
        <v>262</v>
      </c>
    </row>
    <row r="548" spans="2:10">
      <c r="B548" s="25" t="str">
        <f ca="1">IFERROR(__xludf.DUMMYFUNCTION("""COMPUTED_VALUE"""),"MUNICIPALIDAD DISTRITAL")</f>
        <v>MUNICIPALIDAD DISTRITAL</v>
      </c>
      <c r="C548" s="25" t="str">
        <f ca="1">IFERROR(__xludf.DUMMYFUNCTION("""COMPUTED_VALUE"""),"MUNICIPALIDAD DISTRITAL DE CHILCAYOC")</f>
        <v>MUNICIPALIDAD DISTRITAL DE CHILCAYOC</v>
      </c>
      <c r="D548" s="25" t="str">
        <f ca="1">IFERROR(__xludf.DUMMYFUNCTION("""COMPUTED_VALUE"""),"ICA")</f>
        <v>ICA</v>
      </c>
      <c r="E548" s="25" t="str">
        <f ca="1">IFERROR(__xludf.DUMMYFUNCTION("""COMPUTED_VALUE"""),"AYACUCHO")</f>
        <v>AYACUCHO</v>
      </c>
      <c r="F548" s="25" t="str">
        <f ca="1">IFERROR(__xludf.DUMMYFUNCTION("""COMPUTED_VALUE"""),"SUCRE")</f>
        <v>SUCRE</v>
      </c>
      <c r="G548" s="25" t="str">
        <f ca="1">IFERROR(__xludf.DUMMYFUNCTION("""COMPUTED_VALUE"""),"CHILCAYOC")</f>
        <v>CHILCAYOC</v>
      </c>
      <c r="H548" s="25" t="str">
        <f ca="1">IFERROR(__xludf.DUMMYFUNCTION("""COMPUTED_VALUE"""),"RURAL")</f>
        <v>RURAL</v>
      </c>
      <c r="I548" s="25" t="str">
        <f ca="1">IFERROR(__xludf.DUMMYFUNCTION("""COMPUTED_VALUE"""),"Prioridad 3")</f>
        <v>Prioridad 3</v>
      </c>
      <c r="J548" s="43" t="s">
        <v>262</v>
      </c>
    </row>
    <row r="549" spans="2:10">
      <c r="B549" s="25" t="str">
        <f ca="1">IFERROR(__xludf.DUMMYFUNCTION("""COMPUTED_VALUE"""),"MUNICIPALIDAD DISTRITAL")</f>
        <v>MUNICIPALIDAD DISTRITAL</v>
      </c>
      <c r="C549" s="25" t="str">
        <f ca="1">IFERROR(__xludf.DUMMYFUNCTION("""COMPUTED_VALUE"""),"MUNICIPALIDAD DISTRITAL DE HUACAÑA")</f>
        <v>MUNICIPALIDAD DISTRITAL DE HUACAÑA</v>
      </c>
      <c r="D549" s="25" t="str">
        <f ca="1">IFERROR(__xludf.DUMMYFUNCTION("""COMPUTED_VALUE"""),"ICA")</f>
        <v>ICA</v>
      </c>
      <c r="E549" s="25" t="str">
        <f ca="1">IFERROR(__xludf.DUMMYFUNCTION("""COMPUTED_VALUE"""),"AYACUCHO")</f>
        <v>AYACUCHO</v>
      </c>
      <c r="F549" s="25" t="str">
        <f ca="1">IFERROR(__xludf.DUMMYFUNCTION("""COMPUTED_VALUE"""),"SUCRE")</f>
        <v>SUCRE</v>
      </c>
      <c r="G549" s="25" t="str">
        <f ca="1">IFERROR(__xludf.DUMMYFUNCTION("""COMPUTED_VALUE"""),"HUACAÑA")</f>
        <v>HUACAÑA</v>
      </c>
      <c r="H549" s="25" t="str">
        <f ca="1">IFERROR(__xludf.DUMMYFUNCTION("""COMPUTED_VALUE"""),"RURAL")</f>
        <v>RURAL</v>
      </c>
      <c r="I549" s="25" t="str">
        <f ca="1">IFERROR(__xludf.DUMMYFUNCTION("""COMPUTED_VALUE"""),"Prioridad 4")</f>
        <v>Prioridad 4</v>
      </c>
      <c r="J549" s="43" t="s">
        <v>262</v>
      </c>
    </row>
    <row r="550" spans="2:10">
      <c r="B550" s="25" t="str">
        <f ca="1">IFERROR(__xludf.DUMMYFUNCTION("""COMPUTED_VALUE"""),"MUNICIPALIDAD DISTRITAL")</f>
        <v>MUNICIPALIDAD DISTRITAL</v>
      </c>
      <c r="C550" s="25" t="str">
        <f ca="1">IFERROR(__xludf.DUMMYFUNCTION("""COMPUTED_VALUE"""),"MUNICIPALIDAD DISTRITAL DE MORCOLLA")</f>
        <v>MUNICIPALIDAD DISTRITAL DE MORCOLLA</v>
      </c>
      <c r="D550" s="25" t="str">
        <f ca="1">IFERROR(__xludf.DUMMYFUNCTION("""COMPUTED_VALUE"""),"ICA")</f>
        <v>ICA</v>
      </c>
      <c r="E550" s="25" t="str">
        <f ca="1">IFERROR(__xludf.DUMMYFUNCTION("""COMPUTED_VALUE"""),"AYACUCHO")</f>
        <v>AYACUCHO</v>
      </c>
      <c r="F550" s="25" t="str">
        <f ca="1">IFERROR(__xludf.DUMMYFUNCTION("""COMPUTED_VALUE"""),"SUCRE")</f>
        <v>SUCRE</v>
      </c>
      <c r="G550" s="25" t="str">
        <f ca="1">IFERROR(__xludf.DUMMYFUNCTION("""COMPUTED_VALUE"""),"MORCOLLA")</f>
        <v>MORCOLLA</v>
      </c>
      <c r="H550" s="25" t="str">
        <f ca="1">IFERROR(__xludf.DUMMYFUNCTION("""COMPUTED_VALUE"""),"RURAL")</f>
        <v>RURAL</v>
      </c>
      <c r="I550" s="25" t="str">
        <f ca="1">IFERROR(__xludf.DUMMYFUNCTION("""COMPUTED_VALUE"""),"Prioridad 4")</f>
        <v>Prioridad 4</v>
      </c>
      <c r="J550" s="43" t="s">
        <v>262</v>
      </c>
    </row>
    <row r="551" spans="2:10">
      <c r="B551" s="25" t="str">
        <f ca="1">IFERROR(__xludf.DUMMYFUNCTION("""COMPUTED_VALUE"""),"MUNICIPALIDAD DISTRITAL")</f>
        <v>MUNICIPALIDAD DISTRITAL</v>
      </c>
      <c r="C551" s="25" t="str">
        <f ca="1">IFERROR(__xludf.DUMMYFUNCTION("""COMPUTED_VALUE"""),"MUNICIPALIDAD DISTRITAL DE PAICO")</f>
        <v>MUNICIPALIDAD DISTRITAL DE PAICO</v>
      </c>
      <c r="D551" s="25" t="str">
        <f ca="1">IFERROR(__xludf.DUMMYFUNCTION("""COMPUTED_VALUE"""),"ICA")</f>
        <v>ICA</v>
      </c>
      <c r="E551" s="25" t="str">
        <f ca="1">IFERROR(__xludf.DUMMYFUNCTION("""COMPUTED_VALUE"""),"AYACUCHO")</f>
        <v>AYACUCHO</v>
      </c>
      <c r="F551" s="25" t="str">
        <f ca="1">IFERROR(__xludf.DUMMYFUNCTION("""COMPUTED_VALUE"""),"SUCRE")</f>
        <v>SUCRE</v>
      </c>
      <c r="G551" s="25" t="str">
        <f ca="1">IFERROR(__xludf.DUMMYFUNCTION("""COMPUTED_VALUE"""),"PAICO")</f>
        <v>PAICO</v>
      </c>
      <c r="H551" s="25" t="str">
        <f ca="1">IFERROR(__xludf.DUMMYFUNCTION("""COMPUTED_VALUE"""),"RURAL")</f>
        <v>RURAL</v>
      </c>
      <c r="I551" s="25" t="str">
        <f ca="1">IFERROR(__xludf.DUMMYFUNCTION("""COMPUTED_VALUE"""),"Prioridad 4")</f>
        <v>Prioridad 4</v>
      </c>
      <c r="J551" s="43" t="s">
        <v>262</v>
      </c>
    </row>
    <row r="552" spans="2:10">
      <c r="B552" s="25" t="str">
        <f ca="1">IFERROR(__xludf.DUMMYFUNCTION("""COMPUTED_VALUE"""),"MUNICIPALIDAD DISTRITAL")</f>
        <v>MUNICIPALIDAD DISTRITAL</v>
      </c>
      <c r="C552" s="25" t="str">
        <f ca="1">IFERROR(__xludf.DUMMYFUNCTION("""COMPUTED_VALUE"""),"MUNICIPALIDAD DISTRITAL DE SAN PEDRO DE LARCAY")</f>
        <v>MUNICIPALIDAD DISTRITAL DE SAN PEDRO DE LARCAY</v>
      </c>
      <c r="D552" s="25" t="str">
        <f ca="1">IFERROR(__xludf.DUMMYFUNCTION("""COMPUTED_VALUE"""),"ICA")</f>
        <v>ICA</v>
      </c>
      <c r="E552" s="25" t="str">
        <f ca="1">IFERROR(__xludf.DUMMYFUNCTION("""COMPUTED_VALUE"""),"AYACUCHO")</f>
        <v>AYACUCHO</v>
      </c>
      <c r="F552" s="25" t="str">
        <f ca="1">IFERROR(__xludf.DUMMYFUNCTION("""COMPUTED_VALUE"""),"SUCRE")</f>
        <v>SUCRE</v>
      </c>
      <c r="G552" s="25" t="str">
        <f ca="1">IFERROR(__xludf.DUMMYFUNCTION("""COMPUTED_VALUE"""),"SAN PEDRO DE LARCAY")</f>
        <v>SAN PEDRO DE LARCAY</v>
      </c>
      <c r="H552" s="25" t="str">
        <f ca="1">IFERROR(__xludf.DUMMYFUNCTION("""COMPUTED_VALUE"""),"RURAL")</f>
        <v>RURAL</v>
      </c>
      <c r="I552" s="25" t="str">
        <f ca="1">IFERROR(__xludf.DUMMYFUNCTION("""COMPUTED_VALUE"""),"Prioridad 5")</f>
        <v>Prioridad 5</v>
      </c>
      <c r="J552" s="43" t="s">
        <v>262</v>
      </c>
    </row>
    <row r="553" spans="2:10">
      <c r="B553" s="25" t="str">
        <f ca="1">IFERROR(__xludf.DUMMYFUNCTION("""COMPUTED_VALUE"""),"MUNICIPALIDAD DISTRITAL")</f>
        <v>MUNICIPALIDAD DISTRITAL</v>
      </c>
      <c r="C553" s="25" t="str">
        <f ca="1">IFERROR(__xludf.DUMMYFUNCTION("""COMPUTED_VALUE"""),"MUNICIPALIDAD DISTRITAL DE SAN SALVADOR DE QUIJE")</f>
        <v>MUNICIPALIDAD DISTRITAL DE SAN SALVADOR DE QUIJE</v>
      </c>
      <c r="D553" s="25" t="str">
        <f ca="1">IFERROR(__xludf.DUMMYFUNCTION("""COMPUTED_VALUE"""),"ICA")</f>
        <v>ICA</v>
      </c>
      <c r="E553" s="25" t="str">
        <f ca="1">IFERROR(__xludf.DUMMYFUNCTION("""COMPUTED_VALUE"""),"AYACUCHO")</f>
        <v>AYACUCHO</v>
      </c>
      <c r="F553" s="25" t="str">
        <f ca="1">IFERROR(__xludf.DUMMYFUNCTION("""COMPUTED_VALUE"""),"SUCRE")</f>
        <v>SUCRE</v>
      </c>
      <c r="G553" s="25" t="str">
        <f ca="1">IFERROR(__xludf.DUMMYFUNCTION("""COMPUTED_VALUE"""),"SAN SALVADOR DE QUIJE")</f>
        <v>SAN SALVADOR DE QUIJE</v>
      </c>
      <c r="H553" s="25" t="str">
        <f ca="1">IFERROR(__xludf.DUMMYFUNCTION("""COMPUTED_VALUE"""),"RURAL")</f>
        <v>RURAL</v>
      </c>
      <c r="I553" s="25" t="str">
        <f ca="1">IFERROR(__xludf.DUMMYFUNCTION("""COMPUTED_VALUE"""),"Prioridad 5")</f>
        <v>Prioridad 5</v>
      </c>
      <c r="J553" s="43" t="s">
        <v>262</v>
      </c>
    </row>
    <row r="554" spans="2:10">
      <c r="B554" s="25" t="str">
        <f ca="1">IFERROR(__xludf.DUMMYFUNCTION("""COMPUTED_VALUE"""),"MUNICIPALIDAD DISTRITAL")</f>
        <v>MUNICIPALIDAD DISTRITAL</v>
      </c>
      <c r="C554" s="25" t="str">
        <f ca="1">IFERROR(__xludf.DUMMYFUNCTION("""COMPUTED_VALUE"""),"MUNICIPALIDAD DISTRITAL DE SANTIAGO DE PAUCARAY")</f>
        <v>MUNICIPALIDAD DISTRITAL DE SANTIAGO DE PAUCARAY</v>
      </c>
      <c r="D554" s="25" t="str">
        <f ca="1">IFERROR(__xludf.DUMMYFUNCTION("""COMPUTED_VALUE"""),"ICA")</f>
        <v>ICA</v>
      </c>
      <c r="E554" s="25" t="str">
        <f ca="1">IFERROR(__xludf.DUMMYFUNCTION("""COMPUTED_VALUE"""),"AYACUCHO")</f>
        <v>AYACUCHO</v>
      </c>
      <c r="F554" s="25" t="str">
        <f ca="1">IFERROR(__xludf.DUMMYFUNCTION("""COMPUTED_VALUE"""),"SUCRE")</f>
        <v>SUCRE</v>
      </c>
      <c r="G554" s="25" t="str">
        <f ca="1">IFERROR(__xludf.DUMMYFUNCTION("""COMPUTED_VALUE"""),"SANTIAGO DE PAUCARAY")</f>
        <v>SANTIAGO DE PAUCARAY</v>
      </c>
      <c r="H554" s="25" t="str">
        <f ca="1">IFERROR(__xludf.DUMMYFUNCTION("""COMPUTED_VALUE"""),"RURAL")</f>
        <v>RURAL</v>
      </c>
      <c r="I554" s="25" t="str">
        <f ca="1">IFERROR(__xludf.DUMMYFUNCTION("""COMPUTED_VALUE"""),"Prioridad 4")</f>
        <v>Prioridad 4</v>
      </c>
      <c r="J554" s="43" t="s">
        <v>262</v>
      </c>
    </row>
    <row r="555" spans="2:10">
      <c r="B555" s="25" t="str">
        <f ca="1">IFERROR(__xludf.DUMMYFUNCTION("""COMPUTED_VALUE"""),"MUNICIPALIDAD DISTRITAL")</f>
        <v>MUNICIPALIDAD DISTRITAL</v>
      </c>
      <c r="C555" s="25" t="str">
        <f ca="1">IFERROR(__xludf.DUMMYFUNCTION("""COMPUTED_VALUE"""),"MUNICIPALIDAD DISTRITAL DE SORAS")</f>
        <v>MUNICIPALIDAD DISTRITAL DE SORAS</v>
      </c>
      <c r="D555" s="25" t="str">
        <f ca="1">IFERROR(__xludf.DUMMYFUNCTION("""COMPUTED_VALUE"""),"ICA")</f>
        <v>ICA</v>
      </c>
      <c r="E555" s="25" t="str">
        <f ca="1">IFERROR(__xludf.DUMMYFUNCTION("""COMPUTED_VALUE"""),"AYACUCHO")</f>
        <v>AYACUCHO</v>
      </c>
      <c r="F555" s="25" t="str">
        <f ca="1">IFERROR(__xludf.DUMMYFUNCTION("""COMPUTED_VALUE"""),"SUCRE")</f>
        <v>SUCRE</v>
      </c>
      <c r="G555" s="25" t="str">
        <f ca="1">IFERROR(__xludf.DUMMYFUNCTION("""COMPUTED_VALUE"""),"SORAS")</f>
        <v>SORAS</v>
      </c>
      <c r="H555" s="25" t="str">
        <f ca="1">IFERROR(__xludf.DUMMYFUNCTION("""COMPUTED_VALUE"""),"RURAL")</f>
        <v>RURAL</v>
      </c>
      <c r="I555" s="25" t="str">
        <f ca="1">IFERROR(__xludf.DUMMYFUNCTION("""COMPUTED_VALUE"""),"Prioridad 4")</f>
        <v>Prioridad 4</v>
      </c>
      <c r="J555" s="43" t="s">
        <v>262</v>
      </c>
    </row>
    <row r="556" spans="2:10">
      <c r="B556" s="25" t="str">
        <f ca="1">IFERROR(__xludf.DUMMYFUNCTION("""COMPUTED_VALUE"""),"MUNICIPALIDAD PROVINCIAL")</f>
        <v>MUNICIPALIDAD PROVINCIAL</v>
      </c>
      <c r="C556" s="25" t="str">
        <f ca="1">IFERROR(__xludf.DUMMYFUNCTION("""COMPUTED_VALUE"""),"MUNICIPALIDAD PROVINCIAL DE VICTOR FAJARDO")</f>
        <v>MUNICIPALIDAD PROVINCIAL DE VICTOR FAJARDO</v>
      </c>
      <c r="D556" s="25" t="str">
        <f ca="1">IFERROR(__xludf.DUMMYFUNCTION("""COMPUTED_VALUE"""),"ICA")</f>
        <v>ICA</v>
      </c>
      <c r="E556" s="25" t="str">
        <f ca="1">IFERROR(__xludf.DUMMYFUNCTION("""COMPUTED_VALUE"""),"AYACUCHO")</f>
        <v>AYACUCHO</v>
      </c>
      <c r="F556" s="25" t="str">
        <f ca="1">IFERROR(__xludf.DUMMYFUNCTION("""COMPUTED_VALUE"""),"VICTOR FAJARDO")</f>
        <v>VICTOR FAJARDO</v>
      </c>
      <c r="G556" s="25" t="str">
        <f ca="1">IFERROR(__xludf.DUMMYFUNCTION("""COMPUTED_VALUE"""),"HUANCAPI")</f>
        <v>HUANCAPI</v>
      </c>
      <c r="H556" s="25" t="str">
        <f ca="1">IFERROR(__xludf.DUMMYFUNCTION("""COMPUTED_VALUE"""),"RURAL")</f>
        <v>RURAL</v>
      </c>
      <c r="I556" s="25" t="str">
        <f ca="1">IFERROR(__xludf.DUMMYFUNCTION("""COMPUTED_VALUE"""),"Prioridad 1")</f>
        <v>Prioridad 1</v>
      </c>
      <c r="J556" s="43" t="s">
        <v>262</v>
      </c>
    </row>
    <row r="557" spans="2:10">
      <c r="B557" s="25" t="str">
        <f ca="1">IFERROR(__xludf.DUMMYFUNCTION("""COMPUTED_VALUE"""),"MUNICIPALIDAD DISTRITAL")</f>
        <v>MUNICIPALIDAD DISTRITAL</v>
      </c>
      <c r="C557" s="25" t="str">
        <f ca="1">IFERROR(__xludf.DUMMYFUNCTION("""COMPUTED_VALUE"""),"MUNICIPALIDAD DISTRITAL DE ALCAMENCA")</f>
        <v>MUNICIPALIDAD DISTRITAL DE ALCAMENCA</v>
      </c>
      <c r="D557" s="25" t="str">
        <f ca="1">IFERROR(__xludf.DUMMYFUNCTION("""COMPUTED_VALUE"""),"ICA")</f>
        <v>ICA</v>
      </c>
      <c r="E557" s="25" t="str">
        <f ca="1">IFERROR(__xludf.DUMMYFUNCTION("""COMPUTED_VALUE"""),"AYACUCHO")</f>
        <v>AYACUCHO</v>
      </c>
      <c r="F557" s="25" t="str">
        <f ca="1">IFERROR(__xludf.DUMMYFUNCTION("""COMPUTED_VALUE"""),"VICTOR FAJARDO")</f>
        <v>VICTOR FAJARDO</v>
      </c>
      <c r="G557" s="25" t="str">
        <f ca="1">IFERROR(__xludf.DUMMYFUNCTION("""COMPUTED_VALUE"""),"ALCAMENCA")</f>
        <v>ALCAMENCA</v>
      </c>
      <c r="H557" s="25" t="str">
        <f ca="1">IFERROR(__xludf.DUMMYFUNCTION("""COMPUTED_VALUE"""),"RURAL")</f>
        <v>RURAL</v>
      </c>
      <c r="I557" s="25" t="str">
        <f ca="1">IFERROR(__xludf.DUMMYFUNCTION("""COMPUTED_VALUE"""),"Prioridad 5")</f>
        <v>Prioridad 5</v>
      </c>
      <c r="J557" s="43" t="s">
        <v>262</v>
      </c>
    </row>
    <row r="558" spans="2:10">
      <c r="B558" s="25" t="str">
        <f ca="1">IFERROR(__xludf.DUMMYFUNCTION("""COMPUTED_VALUE"""),"MUNICIPALIDAD DISTRITAL")</f>
        <v>MUNICIPALIDAD DISTRITAL</v>
      </c>
      <c r="C558" s="25" t="str">
        <f ca="1">IFERROR(__xludf.DUMMYFUNCTION("""COMPUTED_VALUE"""),"MUNICIPALIDAD DISTRITAL DE APONGO")</f>
        <v>MUNICIPALIDAD DISTRITAL DE APONGO</v>
      </c>
      <c r="D558" s="25" t="str">
        <f ca="1">IFERROR(__xludf.DUMMYFUNCTION("""COMPUTED_VALUE"""),"ICA")</f>
        <v>ICA</v>
      </c>
      <c r="E558" s="25" t="str">
        <f ca="1">IFERROR(__xludf.DUMMYFUNCTION("""COMPUTED_VALUE"""),"AYACUCHO")</f>
        <v>AYACUCHO</v>
      </c>
      <c r="F558" s="25" t="str">
        <f ca="1">IFERROR(__xludf.DUMMYFUNCTION("""COMPUTED_VALUE"""),"VICTOR FAJARDO")</f>
        <v>VICTOR FAJARDO</v>
      </c>
      <c r="G558" s="25" t="str">
        <f ca="1">IFERROR(__xludf.DUMMYFUNCTION("""COMPUTED_VALUE"""),"APONGO")</f>
        <v>APONGO</v>
      </c>
      <c r="H558" s="25" t="str">
        <f ca="1">IFERROR(__xludf.DUMMYFUNCTION("""COMPUTED_VALUE"""),"RURAL")</f>
        <v>RURAL</v>
      </c>
      <c r="I558" s="25" t="str">
        <f ca="1">IFERROR(__xludf.DUMMYFUNCTION("""COMPUTED_VALUE"""),"Prioridad 4")</f>
        <v>Prioridad 4</v>
      </c>
      <c r="J558" s="43" t="s">
        <v>262</v>
      </c>
    </row>
    <row r="559" spans="2:10">
      <c r="B559" s="25" t="str">
        <f ca="1">IFERROR(__xludf.DUMMYFUNCTION("""COMPUTED_VALUE"""),"MUNICIPALIDAD DISTRITAL")</f>
        <v>MUNICIPALIDAD DISTRITAL</v>
      </c>
      <c r="C559" s="25" t="str">
        <f ca="1">IFERROR(__xludf.DUMMYFUNCTION("""COMPUTED_VALUE"""),"MUNICIPALIDAD DISTRITAL DE ASQUIPATA")</f>
        <v>MUNICIPALIDAD DISTRITAL DE ASQUIPATA</v>
      </c>
      <c r="D559" s="25" t="str">
        <f ca="1">IFERROR(__xludf.DUMMYFUNCTION("""COMPUTED_VALUE"""),"ICA")</f>
        <v>ICA</v>
      </c>
      <c r="E559" s="25" t="str">
        <f ca="1">IFERROR(__xludf.DUMMYFUNCTION("""COMPUTED_VALUE"""),"AYACUCHO")</f>
        <v>AYACUCHO</v>
      </c>
      <c r="F559" s="25" t="str">
        <f ca="1">IFERROR(__xludf.DUMMYFUNCTION("""COMPUTED_VALUE"""),"VICTOR FAJARDO")</f>
        <v>VICTOR FAJARDO</v>
      </c>
      <c r="G559" s="25" t="str">
        <f ca="1">IFERROR(__xludf.DUMMYFUNCTION("""COMPUTED_VALUE"""),"ASQUIPATA")</f>
        <v>ASQUIPATA</v>
      </c>
      <c r="H559" s="25" t="str">
        <f ca="1">IFERROR(__xludf.DUMMYFUNCTION("""COMPUTED_VALUE"""),"RURAL")</f>
        <v>RURAL</v>
      </c>
      <c r="I559" s="25" t="str">
        <f ca="1">IFERROR(__xludf.DUMMYFUNCTION("""COMPUTED_VALUE"""),"Prioridad 5")</f>
        <v>Prioridad 5</v>
      </c>
      <c r="J559" s="43" t="s">
        <v>262</v>
      </c>
    </row>
    <row r="560" spans="2:10">
      <c r="B560" s="25" t="str">
        <f ca="1">IFERROR(__xludf.DUMMYFUNCTION("""COMPUTED_VALUE"""),"MUNICIPALIDAD DISTRITAL")</f>
        <v>MUNICIPALIDAD DISTRITAL</v>
      </c>
      <c r="C560" s="25" t="str">
        <f ca="1">IFERROR(__xludf.DUMMYFUNCTION("""COMPUTED_VALUE"""),"MUNICIPALIDAD DISTRITAL DE CANARIA")</f>
        <v>MUNICIPALIDAD DISTRITAL DE CANARIA</v>
      </c>
      <c r="D560" s="25" t="str">
        <f ca="1">IFERROR(__xludf.DUMMYFUNCTION("""COMPUTED_VALUE"""),"ICA")</f>
        <v>ICA</v>
      </c>
      <c r="E560" s="25" t="str">
        <f ca="1">IFERROR(__xludf.DUMMYFUNCTION("""COMPUTED_VALUE"""),"AYACUCHO")</f>
        <v>AYACUCHO</v>
      </c>
      <c r="F560" s="25" t="str">
        <f ca="1">IFERROR(__xludf.DUMMYFUNCTION("""COMPUTED_VALUE"""),"VICTOR FAJARDO")</f>
        <v>VICTOR FAJARDO</v>
      </c>
      <c r="G560" s="25" t="str">
        <f ca="1">IFERROR(__xludf.DUMMYFUNCTION("""COMPUTED_VALUE"""),"CANARIA")</f>
        <v>CANARIA</v>
      </c>
      <c r="H560" s="25" t="str">
        <f ca="1">IFERROR(__xludf.DUMMYFUNCTION("""COMPUTED_VALUE"""),"URBANO")</f>
        <v>URBANO</v>
      </c>
      <c r="I560" s="25" t="str">
        <f ca="1">IFERROR(__xludf.DUMMYFUNCTION("""COMPUTED_VALUE"""),"Prioridad 2")</f>
        <v>Prioridad 2</v>
      </c>
      <c r="J560" s="43" t="s">
        <v>262</v>
      </c>
    </row>
    <row r="561" spans="2:10">
      <c r="B561" s="25" t="str">
        <f ca="1">IFERROR(__xludf.DUMMYFUNCTION("""COMPUTED_VALUE"""),"MUNICIPALIDAD DISTRITAL")</f>
        <v>MUNICIPALIDAD DISTRITAL</v>
      </c>
      <c r="C561" s="25" t="str">
        <f ca="1">IFERROR(__xludf.DUMMYFUNCTION("""COMPUTED_VALUE"""),"MUNICIPALIDAD DISTRITAL DE CAYARA")</f>
        <v>MUNICIPALIDAD DISTRITAL DE CAYARA</v>
      </c>
      <c r="D561" s="25" t="str">
        <f ca="1">IFERROR(__xludf.DUMMYFUNCTION("""COMPUTED_VALUE"""),"ICA")</f>
        <v>ICA</v>
      </c>
      <c r="E561" s="25" t="str">
        <f ca="1">IFERROR(__xludf.DUMMYFUNCTION("""COMPUTED_VALUE"""),"AYACUCHO")</f>
        <v>AYACUCHO</v>
      </c>
      <c r="F561" s="25" t="str">
        <f ca="1">IFERROR(__xludf.DUMMYFUNCTION("""COMPUTED_VALUE"""),"VICTOR FAJARDO")</f>
        <v>VICTOR FAJARDO</v>
      </c>
      <c r="G561" s="25" t="str">
        <f ca="1">IFERROR(__xludf.DUMMYFUNCTION("""COMPUTED_VALUE"""),"CAYARA")</f>
        <v>CAYARA</v>
      </c>
      <c r="H561" s="25" t="str">
        <f ca="1">IFERROR(__xludf.DUMMYFUNCTION("""COMPUTED_VALUE"""),"RURAL")</f>
        <v>RURAL</v>
      </c>
      <c r="I561" s="25" t="str">
        <f ca="1">IFERROR(__xludf.DUMMYFUNCTION("""COMPUTED_VALUE"""),"Prioridad 4")</f>
        <v>Prioridad 4</v>
      </c>
      <c r="J561" s="43" t="s">
        <v>262</v>
      </c>
    </row>
    <row r="562" spans="2:10">
      <c r="B562" s="25" t="str">
        <f ca="1">IFERROR(__xludf.DUMMYFUNCTION("""COMPUTED_VALUE"""),"MUNICIPALIDAD DISTRITAL")</f>
        <v>MUNICIPALIDAD DISTRITAL</v>
      </c>
      <c r="C562" s="25" t="str">
        <f ca="1">IFERROR(__xludf.DUMMYFUNCTION("""COMPUTED_VALUE"""),"MUNICIPALIDAD DISTRITAL DE COLCA EN VICTOR FAJARDO")</f>
        <v>MUNICIPALIDAD DISTRITAL DE COLCA EN VICTOR FAJARDO</v>
      </c>
      <c r="D562" s="25" t="str">
        <f ca="1">IFERROR(__xludf.DUMMYFUNCTION("""COMPUTED_VALUE"""),"ICA")</f>
        <v>ICA</v>
      </c>
      <c r="E562" s="25" t="str">
        <f ca="1">IFERROR(__xludf.DUMMYFUNCTION("""COMPUTED_VALUE"""),"AYACUCHO")</f>
        <v>AYACUCHO</v>
      </c>
      <c r="F562" s="25" t="str">
        <f ca="1">IFERROR(__xludf.DUMMYFUNCTION("""COMPUTED_VALUE"""),"VICTOR FAJARDO")</f>
        <v>VICTOR FAJARDO</v>
      </c>
      <c r="G562" s="25" t="str">
        <f ca="1">IFERROR(__xludf.DUMMYFUNCTION("""COMPUTED_VALUE"""),"COLCA")</f>
        <v>COLCA</v>
      </c>
      <c r="H562" s="25" t="str">
        <f ca="1">IFERROR(__xludf.DUMMYFUNCTION("""COMPUTED_VALUE"""),"RURAL")</f>
        <v>RURAL</v>
      </c>
      <c r="I562" s="25" t="str">
        <f ca="1">IFERROR(__xludf.DUMMYFUNCTION("""COMPUTED_VALUE"""),"Prioridad 5")</f>
        <v>Prioridad 5</v>
      </c>
      <c r="J562" s="43" t="s">
        <v>262</v>
      </c>
    </row>
    <row r="563" spans="2:10">
      <c r="B563" s="25" t="str">
        <f ca="1">IFERROR(__xludf.DUMMYFUNCTION("""COMPUTED_VALUE"""),"MUNICIPALIDAD DISTRITAL")</f>
        <v>MUNICIPALIDAD DISTRITAL</v>
      </c>
      <c r="C563" s="25" t="str">
        <f ca="1">IFERROR(__xludf.DUMMYFUNCTION("""COMPUTED_VALUE"""),"MUNICIPALIDAD DISTRITAL DE HUAMANQUIQUIA")</f>
        <v>MUNICIPALIDAD DISTRITAL DE HUAMANQUIQUIA</v>
      </c>
      <c r="D563" s="25" t="str">
        <f ca="1">IFERROR(__xludf.DUMMYFUNCTION("""COMPUTED_VALUE"""),"ICA")</f>
        <v>ICA</v>
      </c>
      <c r="E563" s="25" t="str">
        <f ca="1">IFERROR(__xludf.DUMMYFUNCTION("""COMPUTED_VALUE"""),"AYACUCHO")</f>
        <v>AYACUCHO</v>
      </c>
      <c r="F563" s="25" t="str">
        <f ca="1">IFERROR(__xludf.DUMMYFUNCTION("""COMPUTED_VALUE"""),"VICTOR FAJARDO")</f>
        <v>VICTOR FAJARDO</v>
      </c>
      <c r="G563" s="25" t="str">
        <f ca="1">IFERROR(__xludf.DUMMYFUNCTION("""COMPUTED_VALUE"""),"HUAMANQUIQUIA")</f>
        <v>HUAMANQUIQUIA</v>
      </c>
      <c r="H563" s="25" t="str">
        <f ca="1">IFERROR(__xludf.DUMMYFUNCTION("""COMPUTED_VALUE"""),"RURAL")</f>
        <v>RURAL</v>
      </c>
      <c r="I563" s="25" t="str">
        <f ca="1">IFERROR(__xludf.DUMMYFUNCTION("""COMPUTED_VALUE"""),"Prioridad 4")</f>
        <v>Prioridad 4</v>
      </c>
      <c r="J563" s="43" t="s">
        <v>262</v>
      </c>
    </row>
    <row r="564" spans="2:10">
      <c r="B564" s="25" t="str">
        <f ca="1">IFERROR(__xludf.DUMMYFUNCTION("""COMPUTED_VALUE"""),"MUNICIPALIDAD DISTRITAL")</f>
        <v>MUNICIPALIDAD DISTRITAL</v>
      </c>
      <c r="C564" s="25" t="str">
        <f ca="1">IFERROR(__xludf.DUMMYFUNCTION("""COMPUTED_VALUE"""),"MUNICIPALIDAD DISTRITAL DE HUANCARAYLLA")</f>
        <v>MUNICIPALIDAD DISTRITAL DE HUANCARAYLLA</v>
      </c>
      <c r="D564" s="25" t="str">
        <f ca="1">IFERROR(__xludf.DUMMYFUNCTION("""COMPUTED_VALUE"""),"ICA")</f>
        <v>ICA</v>
      </c>
      <c r="E564" s="25" t="str">
        <f ca="1">IFERROR(__xludf.DUMMYFUNCTION("""COMPUTED_VALUE"""),"AYACUCHO")</f>
        <v>AYACUCHO</v>
      </c>
      <c r="F564" s="25" t="str">
        <f ca="1">IFERROR(__xludf.DUMMYFUNCTION("""COMPUTED_VALUE"""),"VICTOR FAJARDO")</f>
        <v>VICTOR FAJARDO</v>
      </c>
      <c r="G564" s="25" t="str">
        <f ca="1">IFERROR(__xludf.DUMMYFUNCTION("""COMPUTED_VALUE"""),"HUANCARAYLLA")</f>
        <v>HUANCARAYLLA</v>
      </c>
      <c r="H564" s="25" t="str">
        <f ca="1">IFERROR(__xludf.DUMMYFUNCTION("""COMPUTED_VALUE"""),"RURAL")</f>
        <v>RURAL</v>
      </c>
      <c r="I564" s="25" t="str">
        <f ca="1">IFERROR(__xludf.DUMMYFUNCTION("""COMPUTED_VALUE"""),"Prioridad 2")</f>
        <v>Prioridad 2</v>
      </c>
      <c r="J564" s="43" t="s">
        <v>262</v>
      </c>
    </row>
    <row r="565" spans="2:10">
      <c r="B565" s="25" t="str">
        <f ca="1">IFERROR(__xludf.DUMMYFUNCTION("""COMPUTED_VALUE"""),"MUNICIPALIDAD DISTRITAL")</f>
        <v>MUNICIPALIDAD DISTRITAL</v>
      </c>
      <c r="C565" s="25" t="str">
        <f ca="1">IFERROR(__xludf.DUMMYFUNCTION("""COMPUTED_VALUE"""),"MUNICIPALIDAD DISTRITAL DE HUALLA")</f>
        <v>MUNICIPALIDAD DISTRITAL DE HUALLA</v>
      </c>
      <c r="D565" s="25" t="str">
        <f ca="1">IFERROR(__xludf.DUMMYFUNCTION("""COMPUTED_VALUE"""),"ICA")</f>
        <v>ICA</v>
      </c>
      <c r="E565" s="25" t="str">
        <f ca="1">IFERROR(__xludf.DUMMYFUNCTION("""COMPUTED_VALUE"""),"AYACUCHO")</f>
        <v>AYACUCHO</v>
      </c>
      <c r="F565" s="25" t="str">
        <f ca="1">IFERROR(__xludf.DUMMYFUNCTION("""COMPUTED_VALUE"""),"VICTOR FAJARDO")</f>
        <v>VICTOR FAJARDO</v>
      </c>
      <c r="G565" s="25" t="str">
        <f ca="1">IFERROR(__xludf.DUMMYFUNCTION("""COMPUTED_VALUE"""),"HUALLA")</f>
        <v>HUALLA</v>
      </c>
      <c r="H565" s="25" t="str">
        <f ca="1">IFERROR(__xludf.DUMMYFUNCTION("""COMPUTED_VALUE"""),"RURAL")</f>
        <v>RURAL</v>
      </c>
      <c r="I565" s="25" t="str">
        <f ca="1">IFERROR(__xludf.DUMMYFUNCTION("""COMPUTED_VALUE"""),"Prioridad 4")</f>
        <v>Prioridad 4</v>
      </c>
      <c r="J565" s="43" t="s">
        <v>262</v>
      </c>
    </row>
    <row r="566" spans="2:10">
      <c r="B566" s="25" t="str">
        <f ca="1">IFERROR(__xludf.DUMMYFUNCTION("""COMPUTED_VALUE"""),"MUNICIPALIDAD DISTRITAL")</f>
        <v>MUNICIPALIDAD DISTRITAL</v>
      </c>
      <c r="C566" s="25" t="str">
        <f ca="1">IFERROR(__xludf.DUMMYFUNCTION("""COMPUTED_VALUE"""),"MUNICIPALIDAD DISTRITAL DE SARHUA")</f>
        <v>MUNICIPALIDAD DISTRITAL DE SARHUA</v>
      </c>
      <c r="D566" s="25" t="str">
        <f ca="1">IFERROR(__xludf.DUMMYFUNCTION("""COMPUTED_VALUE"""),"ICA")</f>
        <v>ICA</v>
      </c>
      <c r="E566" s="25" t="str">
        <f ca="1">IFERROR(__xludf.DUMMYFUNCTION("""COMPUTED_VALUE"""),"AYACUCHO")</f>
        <v>AYACUCHO</v>
      </c>
      <c r="F566" s="25" t="str">
        <f ca="1">IFERROR(__xludf.DUMMYFUNCTION("""COMPUTED_VALUE"""),"VICTOR FAJARDO")</f>
        <v>VICTOR FAJARDO</v>
      </c>
      <c r="G566" s="25" t="str">
        <f ca="1">IFERROR(__xludf.DUMMYFUNCTION("""COMPUTED_VALUE"""),"SARHUA")</f>
        <v>SARHUA</v>
      </c>
      <c r="H566" s="25" t="str">
        <f ca="1">IFERROR(__xludf.DUMMYFUNCTION("""COMPUTED_VALUE"""),"RURAL")</f>
        <v>RURAL</v>
      </c>
      <c r="I566" s="25" t="str">
        <f ca="1">IFERROR(__xludf.DUMMYFUNCTION("""COMPUTED_VALUE"""),"Prioridad 4")</f>
        <v>Prioridad 4</v>
      </c>
      <c r="J566" s="43" t="s">
        <v>262</v>
      </c>
    </row>
    <row r="567" spans="2:10">
      <c r="B567" s="25" t="str">
        <f ca="1">IFERROR(__xludf.DUMMYFUNCTION("""COMPUTED_VALUE"""),"MUNICIPALIDAD DISTRITAL")</f>
        <v>MUNICIPALIDAD DISTRITAL</v>
      </c>
      <c r="C567" s="25" t="str">
        <f ca="1">IFERROR(__xludf.DUMMYFUNCTION("""COMPUTED_VALUE"""),"MUNICIPALIDAD DISTRITAL DE VILCANCHOS")</f>
        <v>MUNICIPALIDAD DISTRITAL DE VILCANCHOS</v>
      </c>
      <c r="D567" s="25" t="str">
        <f ca="1">IFERROR(__xludf.DUMMYFUNCTION("""COMPUTED_VALUE"""),"ICA")</f>
        <v>ICA</v>
      </c>
      <c r="E567" s="25" t="str">
        <f ca="1">IFERROR(__xludf.DUMMYFUNCTION("""COMPUTED_VALUE"""),"AYACUCHO")</f>
        <v>AYACUCHO</v>
      </c>
      <c r="F567" s="25" t="str">
        <f ca="1">IFERROR(__xludf.DUMMYFUNCTION("""COMPUTED_VALUE"""),"VICTOR FAJARDO")</f>
        <v>VICTOR FAJARDO</v>
      </c>
      <c r="G567" s="25" t="str">
        <f ca="1">IFERROR(__xludf.DUMMYFUNCTION("""COMPUTED_VALUE"""),"VILCANCHOS")</f>
        <v>VILCANCHOS</v>
      </c>
      <c r="H567" s="25" t="str">
        <f ca="1">IFERROR(__xludf.DUMMYFUNCTION("""COMPUTED_VALUE"""),"RURAL")</f>
        <v>RURAL</v>
      </c>
      <c r="I567" s="25" t="str">
        <f ca="1">IFERROR(__xludf.DUMMYFUNCTION("""COMPUTED_VALUE"""),"Prioridad 5")</f>
        <v>Prioridad 5</v>
      </c>
      <c r="J567" s="43" t="s">
        <v>262</v>
      </c>
    </row>
    <row r="568" spans="2:10">
      <c r="B568" s="25" t="str">
        <f ca="1">IFERROR(__xludf.DUMMYFUNCTION("""COMPUTED_VALUE"""),"MUNICIPALIDAD PROVINCIAL")</f>
        <v>MUNICIPALIDAD PROVINCIAL</v>
      </c>
      <c r="C568" s="25" t="str">
        <f ca="1">IFERROR(__xludf.DUMMYFUNCTION("""COMPUTED_VALUE"""),"MUNICIPALIDAD PROVINCIAL DE VILCAS HUAMAN")</f>
        <v>MUNICIPALIDAD PROVINCIAL DE VILCAS HUAMAN</v>
      </c>
      <c r="D568" s="25" t="str">
        <f ca="1">IFERROR(__xludf.DUMMYFUNCTION("""COMPUTED_VALUE"""),"ICA")</f>
        <v>ICA</v>
      </c>
      <c r="E568" s="25" t="str">
        <f ca="1">IFERROR(__xludf.DUMMYFUNCTION("""COMPUTED_VALUE"""),"AYACUCHO")</f>
        <v>AYACUCHO</v>
      </c>
      <c r="F568" s="25" t="str">
        <f ca="1">IFERROR(__xludf.DUMMYFUNCTION("""COMPUTED_VALUE"""),"VILCAS HUAMAN")</f>
        <v>VILCAS HUAMAN</v>
      </c>
      <c r="G568" s="25" t="str">
        <f ca="1">IFERROR(__xludf.DUMMYFUNCTION("""COMPUTED_VALUE"""),"VILCAS HUAMAN")</f>
        <v>VILCAS HUAMAN</v>
      </c>
      <c r="H568" s="25" t="str">
        <f ca="1">IFERROR(__xludf.DUMMYFUNCTION("""COMPUTED_VALUE"""),"RURAL")</f>
        <v>RURAL</v>
      </c>
      <c r="I568" s="25" t="str">
        <f ca="1">IFERROR(__xludf.DUMMYFUNCTION("""COMPUTED_VALUE"""),"Prioridad 2")</f>
        <v>Prioridad 2</v>
      </c>
      <c r="J568" s="43" t="s">
        <v>262</v>
      </c>
    </row>
    <row r="569" spans="2:10">
      <c r="B569" s="25" t="str">
        <f ca="1">IFERROR(__xludf.DUMMYFUNCTION("""COMPUTED_VALUE"""),"MUNICIPALIDAD DISTRITAL")</f>
        <v>MUNICIPALIDAD DISTRITAL</v>
      </c>
      <c r="C569" s="25" t="str">
        <f ca="1">IFERROR(__xludf.DUMMYFUNCTION("""COMPUTED_VALUE"""),"MUNICIPALIDAD DISTRITAL DE ACCOMARCA")</f>
        <v>MUNICIPALIDAD DISTRITAL DE ACCOMARCA</v>
      </c>
      <c r="D569" s="25" t="str">
        <f ca="1">IFERROR(__xludf.DUMMYFUNCTION("""COMPUTED_VALUE"""),"ICA")</f>
        <v>ICA</v>
      </c>
      <c r="E569" s="25" t="str">
        <f ca="1">IFERROR(__xludf.DUMMYFUNCTION("""COMPUTED_VALUE"""),"AYACUCHO")</f>
        <v>AYACUCHO</v>
      </c>
      <c r="F569" s="25" t="str">
        <f ca="1">IFERROR(__xludf.DUMMYFUNCTION("""COMPUTED_VALUE"""),"VILCAS HUAMAN")</f>
        <v>VILCAS HUAMAN</v>
      </c>
      <c r="G569" s="25" t="str">
        <f ca="1">IFERROR(__xludf.DUMMYFUNCTION("""COMPUTED_VALUE"""),"ACCOMARCA")</f>
        <v>ACCOMARCA</v>
      </c>
      <c r="H569" s="25" t="str">
        <f ca="1">IFERROR(__xludf.DUMMYFUNCTION("""COMPUTED_VALUE"""),"RURAL")</f>
        <v>RURAL</v>
      </c>
      <c r="I569" s="25" t="str">
        <f ca="1">IFERROR(__xludf.DUMMYFUNCTION("""COMPUTED_VALUE"""),"Prioridad 4")</f>
        <v>Prioridad 4</v>
      </c>
      <c r="J569" s="43" t="s">
        <v>264</v>
      </c>
    </row>
    <row r="570" spans="2:10">
      <c r="B570" s="25" t="str">
        <f ca="1">IFERROR(__xludf.DUMMYFUNCTION("""COMPUTED_VALUE"""),"MUNICIPALIDAD DISTRITAL")</f>
        <v>MUNICIPALIDAD DISTRITAL</v>
      </c>
      <c r="C570" s="25" t="str">
        <f ca="1">IFERROR(__xludf.DUMMYFUNCTION("""COMPUTED_VALUE"""),"MUNICIPALIDAD DISTRITAL DE CARHUANCA")</f>
        <v>MUNICIPALIDAD DISTRITAL DE CARHUANCA</v>
      </c>
      <c r="D570" s="25" t="str">
        <f ca="1">IFERROR(__xludf.DUMMYFUNCTION("""COMPUTED_VALUE"""),"ICA")</f>
        <v>ICA</v>
      </c>
      <c r="E570" s="25" t="str">
        <f ca="1">IFERROR(__xludf.DUMMYFUNCTION("""COMPUTED_VALUE"""),"AYACUCHO")</f>
        <v>AYACUCHO</v>
      </c>
      <c r="F570" s="25" t="str">
        <f ca="1">IFERROR(__xludf.DUMMYFUNCTION("""COMPUTED_VALUE"""),"VILCAS HUAMAN")</f>
        <v>VILCAS HUAMAN</v>
      </c>
      <c r="G570" s="25" t="str">
        <f ca="1">IFERROR(__xludf.DUMMYFUNCTION("""COMPUTED_VALUE"""),"CARHUANCA")</f>
        <v>CARHUANCA</v>
      </c>
      <c r="H570" s="25" t="str">
        <f ca="1">IFERROR(__xludf.DUMMYFUNCTION("""COMPUTED_VALUE"""),"RURAL")</f>
        <v>RURAL</v>
      </c>
      <c r="I570" s="25" t="str">
        <f ca="1">IFERROR(__xludf.DUMMYFUNCTION("""COMPUTED_VALUE"""),"Prioridad 4")</f>
        <v>Prioridad 4</v>
      </c>
      <c r="J570" s="43" t="s">
        <v>264</v>
      </c>
    </row>
    <row r="571" spans="2:10">
      <c r="B571" s="25" t="str">
        <f ca="1">IFERROR(__xludf.DUMMYFUNCTION("""COMPUTED_VALUE"""),"MUNICIPALIDAD DISTRITAL")</f>
        <v>MUNICIPALIDAD DISTRITAL</v>
      </c>
      <c r="C571" s="25" t="str">
        <f ca="1">IFERROR(__xludf.DUMMYFUNCTION("""COMPUTED_VALUE"""),"MUNICIPALIDAD DISTRITAL DE CONCEPCION")</f>
        <v>MUNICIPALIDAD DISTRITAL DE CONCEPCION</v>
      </c>
      <c r="D571" s="25" t="str">
        <f ca="1">IFERROR(__xludf.DUMMYFUNCTION("""COMPUTED_VALUE"""),"ICA")</f>
        <v>ICA</v>
      </c>
      <c r="E571" s="25" t="str">
        <f ca="1">IFERROR(__xludf.DUMMYFUNCTION("""COMPUTED_VALUE"""),"AYACUCHO")</f>
        <v>AYACUCHO</v>
      </c>
      <c r="F571" s="25" t="str">
        <f ca="1">IFERROR(__xludf.DUMMYFUNCTION("""COMPUTED_VALUE"""),"VILCAS HUAMAN")</f>
        <v>VILCAS HUAMAN</v>
      </c>
      <c r="G571" s="25" t="str">
        <f ca="1">IFERROR(__xludf.DUMMYFUNCTION("""COMPUTED_VALUE"""),"CONCEPCION")</f>
        <v>CONCEPCION</v>
      </c>
      <c r="H571" s="25" t="str">
        <f ca="1">IFERROR(__xludf.DUMMYFUNCTION("""COMPUTED_VALUE"""),"RURAL")</f>
        <v>RURAL</v>
      </c>
      <c r="I571" s="25" t="str">
        <f ca="1">IFERROR(__xludf.DUMMYFUNCTION("""COMPUTED_VALUE"""),"Prioridad 5")</f>
        <v>Prioridad 5</v>
      </c>
      <c r="J571" s="43" t="s">
        <v>264</v>
      </c>
    </row>
    <row r="572" spans="2:10">
      <c r="B572" s="25" t="str">
        <f ca="1">IFERROR(__xludf.DUMMYFUNCTION("""COMPUTED_VALUE"""),"MUNICIPALIDAD DISTRITAL")</f>
        <v>MUNICIPALIDAD DISTRITAL</v>
      </c>
      <c r="C572" s="25" t="str">
        <f ca="1">IFERROR(__xludf.DUMMYFUNCTION("""COMPUTED_VALUE"""),"MUNICIPALIDAD DISTRITAL DE HUAMBALPA")</f>
        <v>MUNICIPALIDAD DISTRITAL DE HUAMBALPA</v>
      </c>
      <c r="D572" s="25" t="str">
        <f ca="1">IFERROR(__xludf.DUMMYFUNCTION("""COMPUTED_VALUE"""),"ICA")</f>
        <v>ICA</v>
      </c>
      <c r="E572" s="25" t="str">
        <f ca="1">IFERROR(__xludf.DUMMYFUNCTION("""COMPUTED_VALUE"""),"AYACUCHO")</f>
        <v>AYACUCHO</v>
      </c>
      <c r="F572" s="25" t="str">
        <f ca="1">IFERROR(__xludf.DUMMYFUNCTION("""COMPUTED_VALUE"""),"VILCAS HUAMAN")</f>
        <v>VILCAS HUAMAN</v>
      </c>
      <c r="G572" s="25" t="str">
        <f ca="1">IFERROR(__xludf.DUMMYFUNCTION("""COMPUTED_VALUE"""),"HUAMBALPA")</f>
        <v>HUAMBALPA</v>
      </c>
      <c r="H572" s="25" t="str">
        <f ca="1">IFERROR(__xludf.DUMMYFUNCTION("""COMPUTED_VALUE"""),"RURAL")</f>
        <v>RURAL</v>
      </c>
      <c r="I572" s="25" t="str">
        <f ca="1">IFERROR(__xludf.DUMMYFUNCTION("""COMPUTED_VALUE"""),"Prioridad 5")</f>
        <v>Prioridad 5</v>
      </c>
      <c r="J572" s="43" t="s">
        <v>264</v>
      </c>
    </row>
    <row r="573" spans="2:10">
      <c r="B573" s="25" t="str">
        <f ca="1">IFERROR(__xludf.DUMMYFUNCTION("""COMPUTED_VALUE"""),"MUNICIPALIDAD DISTRITAL")</f>
        <v>MUNICIPALIDAD DISTRITAL</v>
      </c>
      <c r="C573" s="25" t="str">
        <f ca="1">IFERROR(__xludf.DUMMYFUNCTION("""COMPUTED_VALUE"""),"MUNICIPALIDAD DISTRITAL DE INDEPENDENCIA EN VILCAS HUAMAN")</f>
        <v>MUNICIPALIDAD DISTRITAL DE INDEPENDENCIA EN VILCAS HUAMAN</v>
      </c>
      <c r="D573" s="25" t="str">
        <f ca="1">IFERROR(__xludf.DUMMYFUNCTION("""COMPUTED_VALUE"""),"ICA")</f>
        <v>ICA</v>
      </c>
      <c r="E573" s="25" t="str">
        <f ca="1">IFERROR(__xludf.DUMMYFUNCTION("""COMPUTED_VALUE"""),"AYACUCHO")</f>
        <v>AYACUCHO</v>
      </c>
      <c r="F573" s="25" t="str">
        <f ca="1">IFERROR(__xludf.DUMMYFUNCTION("""COMPUTED_VALUE"""),"VILCAS HUAMAN")</f>
        <v>VILCAS HUAMAN</v>
      </c>
      <c r="G573" s="25" t="str">
        <f ca="1">IFERROR(__xludf.DUMMYFUNCTION("""COMPUTED_VALUE"""),"INDEPENDENCIA")</f>
        <v>INDEPENDENCIA</v>
      </c>
      <c r="H573" s="25" t="str">
        <f ca="1">IFERROR(__xludf.DUMMYFUNCTION("""COMPUTED_VALUE"""),"RURAL")</f>
        <v>RURAL</v>
      </c>
      <c r="I573" s="25" t="str">
        <f ca="1">IFERROR(__xludf.DUMMYFUNCTION("""COMPUTED_VALUE"""),"Prioridad 5")</f>
        <v>Prioridad 5</v>
      </c>
      <c r="J573" s="43" t="s">
        <v>264</v>
      </c>
    </row>
    <row r="574" spans="2:10">
      <c r="B574" s="25" t="str">
        <f ca="1">IFERROR(__xludf.DUMMYFUNCTION("""COMPUTED_VALUE"""),"MUNICIPALIDAD DISTRITAL")</f>
        <v>MUNICIPALIDAD DISTRITAL</v>
      </c>
      <c r="C574" s="25" t="str">
        <f ca="1">IFERROR(__xludf.DUMMYFUNCTION("""COMPUTED_VALUE"""),"MUNICIPALIDAD DISTRITAL DE SAURAMA")</f>
        <v>MUNICIPALIDAD DISTRITAL DE SAURAMA</v>
      </c>
      <c r="D574" s="25" t="str">
        <f ca="1">IFERROR(__xludf.DUMMYFUNCTION("""COMPUTED_VALUE"""),"ICA")</f>
        <v>ICA</v>
      </c>
      <c r="E574" s="25" t="str">
        <f ca="1">IFERROR(__xludf.DUMMYFUNCTION("""COMPUTED_VALUE"""),"AYACUCHO")</f>
        <v>AYACUCHO</v>
      </c>
      <c r="F574" s="25" t="str">
        <f ca="1">IFERROR(__xludf.DUMMYFUNCTION("""COMPUTED_VALUE"""),"VILCAS HUAMAN")</f>
        <v>VILCAS HUAMAN</v>
      </c>
      <c r="G574" s="25" t="str">
        <f ca="1">IFERROR(__xludf.DUMMYFUNCTION("""COMPUTED_VALUE"""),"SAURAMA")</f>
        <v>SAURAMA</v>
      </c>
      <c r="H574" s="25" t="str">
        <f ca="1">IFERROR(__xludf.DUMMYFUNCTION("""COMPUTED_VALUE"""),"RURAL")</f>
        <v>RURAL</v>
      </c>
      <c r="I574" s="25" t="str">
        <f ca="1">IFERROR(__xludf.DUMMYFUNCTION("""COMPUTED_VALUE"""),"Prioridad 5")</f>
        <v>Prioridad 5</v>
      </c>
      <c r="J574" s="43" t="s">
        <v>264</v>
      </c>
    </row>
    <row r="575" spans="2:10">
      <c r="B575" s="25" t="str">
        <f ca="1">IFERROR(__xludf.DUMMYFUNCTION("""COMPUTED_VALUE"""),"MUNICIPALIDAD DISTRITAL")</f>
        <v>MUNICIPALIDAD DISTRITAL</v>
      </c>
      <c r="C575" s="25" t="str">
        <f ca="1">IFERROR(__xludf.DUMMYFUNCTION("""COMPUTED_VALUE"""),"MUNICIPALIDAD DISTRITAL DE VISCHONGO")</f>
        <v>MUNICIPALIDAD DISTRITAL DE VISCHONGO</v>
      </c>
      <c r="D575" s="25" t="str">
        <f ca="1">IFERROR(__xludf.DUMMYFUNCTION("""COMPUTED_VALUE"""),"ICA")</f>
        <v>ICA</v>
      </c>
      <c r="E575" s="25" t="str">
        <f ca="1">IFERROR(__xludf.DUMMYFUNCTION("""COMPUTED_VALUE"""),"AYACUCHO")</f>
        <v>AYACUCHO</v>
      </c>
      <c r="F575" s="25" t="str">
        <f ca="1">IFERROR(__xludf.DUMMYFUNCTION("""COMPUTED_VALUE"""),"VILCAS HUAMAN")</f>
        <v>VILCAS HUAMAN</v>
      </c>
      <c r="G575" s="25" t="str">
        <f ca="1">IFERROR(__xludf.DUMMYFUNCTION("""COMPUTED_VALUE"""),"VISCHONGO")</f>
        <v>VISCHONGO</v>
      </c>
      <c r="H575" s="25" t="str">
        <f ca="1">IFERROR(__xludf.DUMMYFUNCTION("""COMPUTED_VALUE"""),"RURAL")</f>
        <v>RURAL</v>
      </c>
      <c r="I575" s="25" t="str">
        <f ca="1">IFERROR(__xludf.DUMMYFUNCTION("""COMPUTED_VALUE"""),"Prioridad 5")</f>
        <v>Prioridad 5</v>
      </c>
      <c r="J575" s="43" t="s">
        <v>264</v>
      </c>
    </row>
    <row r="576" spans="2:10">
      <c r="B576" s="25" t="str">
        <f ca="1">IFERROR(__xludf.DUMMYFUNCTION("""COMPUTED_VALUE"""),"MUNICIPALIDAD PROVINCIAL")</f>
        <v>MUNICIPALIDAD PROVINCIAL</v>
      </c>
      <c r="C576" s="25" t="str">
        <f ca="1">IFERROR(__xludf.DUMMYFUNCTION("""COMPUTED_VALUE"""),"MUNICIPALIDAD PROVINCIAL DE CAJABAMBA")</f>
        <v>MUNICIPALIDAD PROVINCIAL DE CAJABAMBA</v>
      </c>
      <c r="D576" s="25" t="str">
        <f ca="1">IFERROR(__xludf.DUMMYFUNCTION("""COMPUTED_VALUE"""),"CAJAMARCA")</f>
        <v>CAJAMARCA</v>
      </c>
      <c r="E576" s="25" t="str">
        <f ca="1">IFERROR(__xludf.DUMMYFUNCTION("""COMPUTED_VALUE"""),"CAJAMARCA")</f>
        <v>CAJAMARCA</v>
      </c>
      <c r="F576" s="25" t="str">
        <f ca="1">IFERROR(__xludf.DUMMYFUNCTION("""COMPUTED_VALUE"""),"CAJABAMBA")</f>
        <v>CAJABAMBA</v>
      </c>
      <c r="G576" s="25" t="str">
        <f ca="1">IFERROR(__xludf.DUMMYFUNCTION("""COMPUTED_VALUE"""),"CAJABAMBA")</f>
        <v>CAJABAMBA</v>
      </c>
      <c r="H576" s="25" t="str">
        <f ca="1">IFERROR(__xludf.DUMMYFUNCTION("""COMPUTED_VALUE"""),"RURAL")</f>
        <v>RURAL</v>
      </c>
      <c r="I576" s="25" t="str">
        <f ca="1">IFERROR(__xludf.DUMMYFUNCTION("""COMPUTED_VALUE"""),"Prioridad 1")</f>
        <v>Prioridad 1</v>
      </c>
      <c r="J576" s="43" t="s">
        <v>264</v>
      </c>
    </row>
    <row r="577" spans="2:10">
      <c r="B577" s="25" t="str">
        <f ca="1">IFERROR(__xludf.DUMMYFUNCTION("""COMPUTED_VALUE"""),"MUNICIPALIDAD DISTRITAL")</f>
        <v>MUNICIPALIDAD DISTRITAL</v>
      </c>
      <c r="C577" s="25" t="str">
        <f ca="1">IFERROR(__xludf.DUMMYFUNCTION("""COMPUTED_VALUE"""),"MUNICIPALIDAD DISTRITAL DE CACHACHI")</f>
        <v>MUNICIPALIDAD DISTRITAL DE CACHACHI</v>
      </c>
      <c r="D577" s="25" t="str">
        <f ca="1">IFERROR(__xludf.DUMMYFUNCTION("""COMPUTED_VALUE"""),"CAJAMARCA")</f>
        <v>CAJAMARCA</v>
      </c>
      <c r="E577" s="25" t="str">
        <f ca="1">IFERROR(__xludf.DUMMYFUNCTION("""COMPUTED_VALUE"""),"CAJAMARCA")</f>
        <v>CAJAMARCA</v>
      </c>
      <c r="F577" s="25" t="str">
        <f ca="1">IFERROR(__xludf.DUMMYFUNCTION("""COMPUTED_VALUE"""),"CAJABAMBA")</f>
        <v>CAJABAMBA</v>
      </c>
      <c r="G577" s="25" t="str">
        <f ca="1">IFERROR(__xludf.DUMMYFUNCTION("""COMPUTED_VALUE"""),"CACHACHI")</f>
        <v>CACHACHI</v>
      </c>
      <c r="H577" s="25" t="str">
        <f ca="1">IFERROR(__xludf.DUMMYFUNCTION("""COMPUTED_VALUE"""),"RURAL")</f>
        <v>RURAL</v>
      </c>
      <c r="I577" s="25" t="str">
        <f ca="1">IFERROR(__xludf.DUMMYFUNCTION("""COMPUTED_VALUE"""),"Prioridad 5")</f>
        <v>Prioridad 5</v>
      </c>
      <c r="J577" s="43" t="s">
        <v>264</v>
      </c>
    </row>
    <row r="578" spans="2:10">
      <c r="B578" s="25" t="str">
        <f ca="1">IFERROR(__xludf.DUMMYFUNCTION("""COMPUTED_VALUE"""),"MUNICIPALIDAD DISTRITAL")</f>
        <v>MUNICIPALIDAD DISTRITAL</v>
      </c>
      <c r="C578" s="25" t="str">
        <f ca="1">IFERROR(__xludf.DUMMYFUNCTION("""COMPUTED_VALUE"""),"MUNICIPALIDAD DISTRITAL DE CONDEBAMBA")</f>
        <v>MUNICIPALIDAD DISTRITAL DE CONDEBAMBA</v>
      </c>
      <c r="D578" s="25" t="str">
        <f ca="1">IFERROR(__xludf.DUMMYFUNCTION("""COMPUTED_VALUE"""),"CAJAMARCA")</f>
        <v>CAJAMARCA</v>
      </c>
      <c r="E578" s="25" t="str">
        <f ca="1">IFERROR(__xludf.DUMMYFUNCTION("""COMPUTED_VALUE"""),"CAJAMARCA")</f>
        <v>CAJAMARCA</v>
      </c>
      <c r="F578" s="25" t="str">
        <f ca="1">IFERROR(__xludf.DUMMYFUNCTION("""COMPUTED_VALUE"""),"CAJABAMBA")</f>
        <v>CAJABAMBA</v>
      </c>
      <c r="G578" s="25" t="str">
        <f ca="1">IFERROR(__xludf.DUMMYFUNCTION("""COMPUTED_VALUE"""),"CONDEBAMBA")</f>
        <v>CONDEBAMBA</v>
      </c>
      <c r="H578" s="25" t="str">
        <f ca="1">IFERROR(__xludf.DUMMYFUNCTION("""COMPUTED_VALUE"""),"RURAL")</f>
        <v>RURAL</v>
      </c>
      <c r="I578" s="25" t="str">
        <f ca="1">IFERROR(__xludf.DUMMYFUNCTION("""COMPUTED_VALUE"""),"Prioridad 5")</f>
        <v>Prioridad 5</v>
      </c>
      <c r="J578" s="43" t="s">
        <v>264</v>
      </c>
    </row>
    <row r="579" spans="2:10">
      <c r="B579" s="25" t="str">
        <f ca="1">IFERROR(__xludf.DUMMYFUNCTION("""COMPUTED_VALUE"""),"MUNICIPALIDAD DISTRITAL")</f>
        <v>MUNICIPALIDAD DISTRITAL</v>
      </c>
      <c r="C579" s="25" t="str">
        <f ca="1">IFERROR(__xludf.DUMMYFUNCTION("""COMPUTED_VALUE"""),"MUNICIPALIDAD DISTRITAL DE SITACOCHA")</f>
        <v>MUNICIPALIDAD DISTRITAL DE SITACOCHA</v>
      </c>
      <c r="D579" s="25" t="str">
        <f ca="1">IFERROR(__xludf.DUMMYFUNCTION("""COMPUTED_VALUE"""),"CAJAMARCA")</f>
        <v>CAJAMARCA</v>
      </c>
      <c r="E579" s="25" t="str">
        <f ca="1">IFERROR(__xludf.DUMMYFUNCTION("""COMPUTED_VALUE"""),"CAJAMARCA")</f>
        <v>CAJAMARCA</v>
      </c>
      <c r="F579" s="25" t="str">
        <f ca="1">IFERROR(__xludf.DUMMYFUNCTION("""COMPUTED_VALUE"""),"CAJABAMBA")</f>
        <v>CAJABAMBA</v>
      </c>
      <c r="G579" s="25" t="str">
        <f ca="1">IFERROR(__xludf.DUMMYFUNCTION("""COMPUTED_VALUE"""),"SITACOCHA")</f>
        <v>SITACOCHA</v>
      </c>
      <c r="H579" s="25" t="str">
        <f ca="1">IFERROR(__xludf.DUMMYFUNCTION("""COMPUTED_VALUE"""),"RURAL")</f>
        <v>RURAL</v>
      </c>
      <c r="I579" s="25" t="str">
        <f ca="1">IFERROR(__xludf.DUMMYFUNCTION("""COMPUTED_VALUE"""),"Prioridad 5")</f>
        <v>Prioridad 5</v>
      </c>
      <c r="J579" s="43" t="s">
        <v>264</v>
      </c>
    </row>
    <row r="580" spans="2:10">
      <c r="B580" s="25" t="str">
        <f ca="1">IFERROR(__xludf.DUMMYFUNCTION("""COMPUTED_VALUE"""),"MUNICIPALIDAD PROVINCIAL")</f>
        <v>MUNICIPALIDAD PROVINCIAL</v>
      </c>
      <c r="C580" s="25" t="str">
        <f ca="1">IFERROR(__xludf.DUMMYFUNCTION("""COMPUTED_VALUE"""),"MUNICIPALIDAD PROVINCIAL DE CAJAMARCA")</f>
        <v>MUNICIPALIDAD PROVINCIAL DE CAJAMARCA</v>
      </c>
      <c r="D580" s="25" t="str">
        <f ca="1">IFERROR(__xludf.DUMMYFUNCTION("""COMPUTED_VALUE"""),"CAJAMARCA")</f>
        <v>CAJAMARCA</v>
      </c>
      <c r="E580" s="25" t="str">
        <f ca="1">IFERROR(__xludf.DUMMYFUNCTION("""COMPUTED_VALUE"""),"CAJAMARCA")</f>
        <v>CAJAMARCA</v>
      </c>
      <c r="F580" s="25" t="str">
        <f ca="1">IFERROR(__xludf.DUMMYFUNCTION("""COMPUTED_VALUE"""),"CAJAMARCA")</f>
        <v>CAJAMARCA</v>
      </c>
      <c r="G580" s="25" t="str">
        <f ca="1">IFERROR(__xludf.DUMMYFUNCTION("""COMPUTED_VALUE"""),"CAJAMARCA")</f>
        <v>CAJAMARCA</v>
      </c>
      <c r="H580" s="25" t="str">
        <f ca="1">IFERROR(__xludf.DUMMYFUNCTION("""COMPUTED_VALUE"""),"URBANO")</f>
        <v>URBANO</v>
      </c>
      <c r="I580" s="25" t="str">
        <f ca="1">IFERROR(__xludf.DUMMYFUNCTION("""COMPUTED_VALUE"""),"Prioridad 1")</f>
        <v>Prioridad 1</v>
      </c>
      <c r="J580" s="43" t="s">
        <v>264</v>
      </c>
    </row>
    <row r="581" spans="2:10">
      <c r="B581" s="25" t="str">
        <f ca="1">IFERROR(__xludf.DUMMYFUNCTION("""COMPUTED_VALUE"""),"MUNICIPALIDAD DISTRITAL")</f>
        <v>MUNICIPALIDAD DISTRITAL</v>
      </c>
      <c r="C581" s="25" t="str">
        <f ca="1">IFERROR(__xludf.DUMMYFUNCTION("""COMPUTED_VALUE"""),"MUNICIPALIDAD DISTRITAL DE LOS BAÑOS DEL INCA")</f>
        <v>MUNICIPALIDAD DISTRITAL DE LOS BAÑOS DEL INCA</v>
      </c>
      <c r="D581" s="25" t="str">
        <f ca="1">IFERROR(__xludf.DUMMYFUNCTION("""COMPUTED_VALUE"""),"CAJAMARCA")</f>
        <v>CAJAMARCA</v>
      </c>
      <c r="E581" s="25" t="str">
        <f ca="1">IFERROR(__xludf.DUMMYFUNCTION("""COMPUTED_VALUE"""),"CAJAMARCA")</f>
        <v>CAJAMARCA</v>
      </c>
      <c r="F581" s="25" t="str">
        <f ca="1">IFERROR(__xludf.DUMMYFUNCTION("""COMPUTED_VALUE"""),"CAJAMARCA")</f>
        <v>CAJAMARCA</v>
      </c>
      <c r="G581" s="25" t="str">
        <f ca="1">IFERROR(__xludf.DUMMYFUNCTION("""COMPUTED_VALUE"""),"LOS BAÑOS DEL INCA")</f>
        <v>LOS BAÑOS DEL INCA</v>
      </c>
      <c r="H581" s="25" t="str">
        <f ca="1">IFERROR(__xludf.DUMMYFUNCTION("""COMPUTED_VALUE"""),"RURAL")</f>
        <v>RURAL</v>
      </c>
      <c r="I581" s="25" t="str">
        <f ca="1">IFERROR(__xludf.DUMMYFUNCTION("""COMPUTED_VALUE"""),"Prioridad 1")</f>
        <v>Prioridad 1</v>
      </c>
      <c r="J581" s="43" t="s">
        <v>264</v>
      </c>
    </row>
    <row r="582" spans="2:10">
      <c r="B582" s="25" t="str">
        <f ca="1">IFERROR(__xludf.DUMMYFUNCTION("""COMPUTED_VALUE"""),"MUNICIPALIDAD DISTRITAL")</f>
        <v>MUNICIPALIDAD DISTRITAL</v>
      </c>
      <c r="C582" s="25" t="str">
        <f ca="1">IFERROR(__xludf.DUMMYFUNCTION("""COMPUTED_VALUE"""),"MUNICIPALIDAD DISTRITAL DE ASUNCION EN CAJAMARCA")</f>
        <v>MUNICIPALIDAD DISTRITAL DE ASUNCION EN CAJAMARCA</v>
      </c>
      <c r="D582" s="25" t="str">
        <f ca="1">IFERROR(__xludf.DUMMYFUNCTION("""COMPUTED_VALUE"""),"CAJAMARCA")</f>
        <v>CAJAMARCA</v>
      </c>
      <c r="E582" s="25" t="str">
        <f ca="1">IFERROR(__xludf.DUMMYFUNCTION("""COMPUTED_VALUE"""),"CAJAMARCA")</f>
        <v>CAJAMARCA</v>
      </c>
      <c r="F582" s="25" t="str">
        <f ca="1">IFERROR(__xludf.DUMMYFUNCTION("""COMPUTED_VALUE"""),"CAJAMARCA")</f>
        <v>CAJAMARCA</v>
      </c>
      <c r="G582" s="25" t="str">
        <f ca="1">IFERROR(__xludf.DUMMYFUNCTION("""COMPUTED_VALUE"""),"ASUNCION")</f>
        <v>ASUNCION</v>
      </c>
      <c r="H582" s="25" t="str">
        <f ca="1">IFERROR(__xludf.DUMMYFUNCTION("""COMPUTED_VALUE"""),"RURAL")</f>
        <v>RURAL</v>
      </c>
      <c r="I582" s="25" t="str">
        <f ca="1">IFERROR(__xludf.DUMMYFUNCTION("""COMPUTED_VALUE"""),"Prioridad 5")</f>
        <v>Prioridad 5</v>
      </c>
      <c r="J582" s="43" t="s">
        <v>264</v>
      </c>
    </row>
    <row r="583" spans="2:10">
      <c r="B583" s="25" t="str">
        <f ca="1">IFERROR(__xludf.DUMMYFUNCTION("""COMPUTED_VALUE"""),"MUNICIPALIDAD DISTRITAL")</f>
        <v>MUNICIPALIDAD DISTRITAL</v>
      </c>
      <c r="C583" s="25" t="str">
        <f ca="1">IFERROR(__xludf.DUMMYFUNCTION("""COMPUTED_VALUE"""),"MUNICIPALIDAD DISTRITAL DE CHETILLA")</f>
        <v>MUNICIPALIDAD DISTRITAL DE CHETILLA</v>
      </c>
      <c r="D583" s="25" t="str">
        <f ca="1">IFERROR(__xludf.DUMMYFUNCTION("""COMPUTED_VALUE"""),"CAJAMARCA")</f>
        <v>CAJAMARCA</v>
      </c>
      <c r="E583" s="25" t="str">
        <f ca="1">IFERROR(__xludf.DUMMYFUNCTION("""COMPUTED_VALUE"""),"CAJAMARCA")</f>
        <v>CAJAMARCA</v>
      </c>
      <c r="F583" s="25" t="str">
        <f ca="1">IFERROR(__xludf.DUMMYFUNCTION("""COMPUTED_VALUE"""),"CAJAMARCA")</f>
        <v>CAJAMARCA</v>
      </c>
      <c r="G583" s="25" t="str">
        <f ca="1">IFERROR(__xludf.DUMMYFUNCTION("""COMPUTED_VALUE"""),"CHETILLA")</f>
        <v>CHETILLA</v>
      </c>
      <c r="H583" s="25" t="str">
        <f ca="1">IFERROR(__xludf.DUMMYFUNCTION("""COMPUTED_VALUE"""),"RURAL")</f>
        <v>RURAL</v>
      </c>
      <c r="I583" s="25" t="str">
        <f ca="1">IFERROR(__xludf.DUMMYFUNCTION("""COMPUTED_VALUE"""),"Prioridad 5")</f>
        <v>Prioridad 5</v>
      </c>
      <c r="J583" s="43" t="s">
        <v>264</v>
      </c>
    </row>
    <row r="584" spans="2:10">
      <c r="B584" s="25" t="str">
        <f ca="1">IFERROR(__xludf.DUMMYFUNCTION("""COMPUTED_VALUE"""),"MUNICIPALIDAD DISTRITAL")</f>
        <v>MUNICIPALIDAD DISTRITAL</v>
      </c>
      <c r="C584" s="25" t="str">
        <f ca="1">IFERROR(__xludf.DUMMYFUNCTION("""COMPUTED_VALUE"""),"MUNICIPALIDAD DISTRITAL DE COSPAN")</f>
        <v>MUNICIPALIDAD DISTRITAL DE COSPAN</v>
      </c>
      <c r="D584" s="25" t="str">
        <f ca="1">IFERROR(__xludf.DUMMYFUNCTION("""COMPUTED_VALUE"""),"CAJAMARCA")</f>
        <v>CAJAMARCA</v>
      </c>
      <c r="E584" s="25" t="str">
        <f ca="1">IFERROR(__xludf.DUMMYFUNCTION("""COMPUTED_VALUE"""),"CAJAMARCA")</f>
        <v>CAJAMARCA</v>
      </c>
      <c r="F584" s="25" t="str">
        <f ca="1">IFERROR(__xludf.DUMMYFUNCTION("""COMPUTED_VALUE"""),"CAJAMARCA")</f>
        <v>CAJAMARCA</v>
      </c>
      <c r="G584" s="25" t="str">
        <f ca="1">IFERROR(__xludf.DUMMYFUNCTION("""COMPUTED_VALUE"""),"COSPAN")</f>
        <v>COSPAN</v>
      </c>
      <c r="H584" s="25" t="str">
        <f ca="1">IFERROR(__xludf.DUMMYFUNCTION("""COMPUTED_VALUE"""),"RURAL")</f>
        <v>RURAL</v>
      </c>
      <c r="I584" s="25" t="str">
        <f ca="1">IFERROR(__xludf.DUMMYFUNCTION("""COMPUTED_VALUE"""),"Prioridad 5")</f>
        <v>Prioridad 5</v>
      </c>
      <c r="J584" s="43" t="s">
        <v>264</v>
      </c>
    </row>
    <row r="585" spans="2:10">
      <c r="B585" s="25" t="str">
        <f ca="1">IFERROR(__xludf.DUMMYFUNCTION("""COMPUTED_VALUE"""),"MUNICIPALIDAD DISTRITAL")</f>
        <v>MUNICIPALIDAD DISTRITAL</v>
      </c>
      <c r="C585" s="25" t="str">
        <f ca="1">IFERROR(__xludf.DUMMYFUNCTION("""COMPUTED_VALUE"""),"MUNICIPALIDAD DISTRITAL DE ENCAÑADA")</f>
        <v>MUNICIPALIDAD DISTRITAL DE ENCAÑADA</v>
      </c>
      <c r="D585" s="25" t="str">
        <f ca="1">IFERROR(__xludf.DUMMYFUNCTION("""COMPUTED_VALUE"""),"CAJAMARCA")</f>
        <v>CAJAMARCA</v>
      </c>
      <c r="E585" s="25" t="str">
        <f ca="1">IFERROR(__xludf.DUMMYFUNCTION("""COMPUTED_VALUE"""),"CAJAMARCA")</f>
        <v>CAJAMARCA</v>
      </c>
      <c r="F585" s="25" t="str">
        <f ca="1">IFERROR(__xludf.DUMMYFUNCTION("""COMPUTED_VALUE"""),"CAJAMARCA")</f>
        <v>CAJAMARCA</v>
      </c>
      <c r="G585" s="25" t="str">
        <f ca="1">IFERROR(__xludf.DUMMYFUNCTION("""COMPUTED_VALUE"""),"ENCAÑADA")</f>
        <v>ENCAÑADA</v>
      </c>
      <c r="H585" s="25" t="str">
        <f ca="1">IFERROR(__xludf.DUMMYFUNCTION("""COMPUTED_VALUE"""),"RURAL")</f>
        <v>RURAL</v>
      </c>
      <c r="I585" s="25" t="str">
        <f ca="1">IFERROR(__xludf.DUMMYFUNCTION("""COMPUTED_VALUE"""),"Prioridad 4")</f>
        <v>Prioridad 4</v>
      </c>
      <c r="J585" s="43" t="s">
        <v>264</v>
      </c>
    </row>
    <row r="586" spans="2:10">
      <c r="B586" s="25" t="str">
        <f ca="1">IFERROR(__xludf.DUMMYFUNCTION("""COMPUTED_VALUE"""),"MUNICIPALIDAD DISTRITAL")</f>
        <v>MUNICIPALIDAD DISTRITAL</v>
      </c>
      <c r="C586" s="25" t="str">
        <f ca="1">IFERROR(__xludf.DUMMYFUNCTION("""COMPUTED_VALUE"""),"MUNICIPALIDAD DISTRITAL DE JESUS")</f>
        <v>MUNICIPALIDAD DISTRITAL DE JESUS</v>
      </c>
      <c r="D586" s="25" t="str">
        <f ca="1">IFERROR(__xludf.DUMMYFUNCTION("""COMPUTED_VALUE"""),"CAJAMARCA")</f>
        <v>CAJAMARCA</v>
      </c>
      <c r="E586" s="25" t="str">
        <f ca="1">IFERROR(__xludf.DUMMYFUNCTION("""COMPUTED_VALUE"""),"CAJAMARCA")</f>
        <v>CAJAMARCA</v>
      </c>
      <c r="F586" s="25" t="str">
        <f ca="1">IFERROR(__xludf.DUMMYFUNCTION("""COMPUTED_VALUE"""),"CAJAMARCA")</f>
        <v>CAJAMARCA</v>
      </c>
      <c r="G586" s="25" t="str">
        <f ca="1">IFERROR(__xludf.DUMMYFUNCTION("""COMPUTED_VALUE"""),"JESUS")</f>
        <v>JESUS</v>
      </c>
      <c r="H586" s="25" t="str">
        <f ca="1">IFERROR(__xludf.DUMMYFUNCTION("""COMPUTED_VALUE"""),"RURAL")</f>
        <v>RURAL</v>
      </c>
      <c r="I586" s="25" t="str">
        <f ca="1">IFERROR(__xludf.DUMMYFUNCTION("""COMPUTED_VALUE"""),"Prioridad 3")</f>
        <v>Prioridad 3</v>
      </c>
      <c r="J586" s="43" t="s">
        <v>264</v>
      </c>
    </row>
    <row r="587" spans="2:10">
      <c r="B587" s="25" t="str">
        <f ca="1">IFERROR(__xludf.DUMMYFUNCTION("""COMPUTED_VALUE"""),"MUNICIPALIDAD DISTRITAL")</f>
        <v>MUNICIPALIDAD DISTRITAL</v>
      </c>
      <c r="C587" s="25" t="str">
        <f ca="1">IFERROR(__xludf.DUMMYFUNCTION("""COMPUTED_VALUE"""),"MUNICIPALIDAD DISTRITAL DE LLACANORA")</f>
        <v>MUNICIPALIDAD DISTRITAL DE LLACANORA</v>
      </c>
      <c r="D587" s="25" t="str">
        <f ca="1">IFERROR(__xludf.DUMMYFUNCTION("""COMPUTED_VALUE"""),"CAJAMARCA")</f>
        <v>CAJAMARCA</v>
      </c>
      <c r="E587" s="25" t="str">
        <f ca="1">IFERROR(__xludf.DUMMYFUNCTION("""COMPUTED_VALUE"""),"CAJAMARCA")</f>
        <v>CAJAMARCA</v>
      </c>
      <c r="F587" s="25" t="str">
        <f ca="1">IFERROR(__xludf.DUMMYFUNCTION("""COMPUTED_VALUE"""),"CAJAMARCA")</f>
        <v>CAJAMARCA</v>
      </c>
      <c r="G587" s="25" t="str">
        <f ca="1">IFERROR(__xludf.DUMMYFUNCTION("""COMPUTED_VALUE"""),"LLACANORA")</f>
        <v>LLACANORA</v>
      </c>
      <c r="H587" s="25" t="str">
        <f ca="1">IFERROR(__xludf.DUMMYFUNCTION("""COMPUTED_VALUE"""),"RURAL")</f>
        <v>RURAL</v>
      </c>
      <c r="I587" s="25" t="str">
        <f ca="1">IFERROR(__xludf.DUMMYFUNCTION("""COMPUTED_VALUE"""),"Prioridad 3")</f>
        <v>Prioridad 3</v>
      </c>
      <c r="J587" s="43" t="s">
        <v>264</v>
      </c>
    </row>
    <row r="588" spans="2:10">
      <c r="B588" s="25" t="str">
        <f ca="1">IFERROR(__xludf.DUMMYFUNCTION("""COMPUTED_VALUE"""),"MUNICIPALIDAD DISTRITAL")</f>
        <v>MUNICIPALIDAD DISTRITAL</v>
      </c>
      <c r="C588" s="25" t="str">
        <f ca="1">IFERROR(__xludf.DUMMYFUNCTION("""COMPUTED_VALUE"""),"MUNICIPALIDAD DISTRITAL DE MAGDALENA EN CAJAMARCA")</f>
        <v>MUNICIPALIDAD DISTRITAL DE MAGDALENA EN CAJAMARCA</v>
      </c>
      <c r="D588" s="25" t="str">
        <f ca="1">IFERROR(__xludf.DUMMYFUNCTION("""COMPUTED_VALUE"""),"CAJAMARCA")</f>
        <v>CAJAMARCA</v>
      </c>
      <c r="E588" s="25" t="str">
        <f ca="1">IFERROR(__xludf.DUMMYFUNCTION("""COMPUTED_VALUE"""),"CAJAMARCA")</f>
        <v>CAJAMARCA</v>
      </c>
      <c r="F588" s="25" t="str">
        <f ca="1">IFERROR(__xludf.DUMMYFUNCTION("""COMPUTED_VALUE"""),"CAJAMARCA")</f>
        <v>CAJAMARCA</v>
      </c>
      <c r="G588" s="25" t="str">
        <f ca="1">IFERROR(__xludf.DUMMYFUNCTION("""COMPUTED_VALUE"""),"MAGDALENA")</f>
        <v>MAGDALENA</v>
      </c>
      <c r="H588" s="25" t="str">
        <f ca="1">IFERROR(__xludf.DUMMYFUNCTION("""COMPUTED_VALUE"""),"RURAL")</f>
        <v>RURAL</v>
      </c>
      <c r="I588" s="25" t="str">
        <f ca="1">IFERROR(__xludf.DUMMYFUNCTION("""COMPUTED_VALUE"""),"Prioridad 3")</f>
        <v>Prioridad 3</v>
      </c>
      <c r="J588" s="43" t="s">
        <v>264</v>
      </c>
    </row>
    <row r="589" spans="2:10">
      <c r="B589" s="25" t="str">
        <f ca="1">IFERROR(__xludf.DUMMYFUNCTION("""COMPUTED_VALUE"""),"MUNICIPALIDAD DISTRITAL")</f>
        <v>MUNICIPALIDAD DISTRITAL</v>
      </c>
      <c r="C589" s="25" t="str">
        <f ca="1">IFERROR(__xludf.DUMMYFUNCTION("""COMPUTED_VALUE"""),"MUNICIPALIDAD DISTRITAL DE MATARA")</f>
        <v>MUNICIPALIDAD DISTRITAL DE MATARA</v>
      </c>
      <c r="D589" s="25" t="str">
        <f ca="1">IFERROR(__xludf.DUMMYFUNCTION("""COMPUTED_VALUE"""),"CAJAMARCA")</f>
        <v>CAJAMARCA</v>
      </c>
      <c r="E589" s="25" t="str">
        <f ca="1">IFERROR(__xludf.DUMMYFUNCTION("""COMPUTED_VALUE"""),"CAJAMARCA")</f>
        <v>CAJAMARCA</v>
      </c>
      <c r="F589" s="25" t="str">
        <f ca="1">IFERROR(__xludf.DUMMYFUNCTION("""COMPUTED_VALUE"""),"CAJAMARCA")</f>
        <v>CAJAMARCA</v>
      </c>
      <c r="G589" s="25" t="str">
        <f ca="1">IFERROR(__xludf.DUMMYFUNCTION("""COMPUTED_VALUE"""),"MATARA")</f>
        <v>MATARA</v>
      </c>
      <c r="H589" s="25" t="str">
        <f ca="1">IFERROR(__xludf.DUMMYFUNCTION("""COMPUTED_VALUE"""),"RURAL")</f>
        <v>RURAL</v>
      </c>
      <c r="I589" s="25" t="str">
        <f ca="1">IFERROR(__xludf.DUMMYFUNCTION("""COMPUTED_VALUE"""),"Prioridad 3")</f>
        <v>Prioridad 3</v>
      </c>
      <c r="J589" s="43" t="s">
        <v>264</v>
      </c>
    </row>
    <row r="590" spans="2:10">
      <c r="B590" s="25" t="str">
        <f ca="1">IFERROR(__xludf.DUMMYFUNCTION("""COMPUTED_VALUE"""),"MUNICIPALIDAD DISTRITAL")</f>
        <v>MUNICIPALIDAD DISTRITAL</v>
      </c>
      <c r="C590" s="25" t="str">
        <f ca="1">IFERROR(__xludf.DUMMYFUNCTION("""COMPUTED_VALUE"""),"MUNICIPALIDAD DISTRITAL DE NAMORA")</f>
        <v>MUNICIPALIDAD DISTRITAL DE NAMORA</v>
      </c>
      <c r="D590" s="25" t="str">
        <f ca="1">IFERROR(__xludf.DUMMYFUNCTION("""COMPUTED_VALUE"""),"CAJAMARCA")</f>
        <v>CAJAMARCA</v>
      </c>
      <c r="E590" s="25" t="str">
        <f ca="1">IFERROR(__xludf.DUMMYFUNCTION("""COMPUTED_VALUE"""),"CAJAMARCA")</f>
        <v>CAJAMARCA</v>
      </c>
      <c r="F590" s="25" t="str">
        <f ca="1">IFERROR(__xludf.DUMMYFUNCTION("""COMPUTED_VALUE"""),"CAJAMARCA")</f>
        <v>CAJAMARCA</v>
      </c>
      <c r="G590" s="25" t="str">
        <f ca="1">IFERROR(__xludf.DUMMYFUNCTION("""COMPUTED_VALUE"""),"NAMORA")</f>
        <v>NAMORA</v>
      </c>
      <c r="H590" s="25" t="str">
        <f ca="1">IFERROR(__xludf.DUMMYFUNCTION("""COMPUTED_VALUE"""),"RURAL")</f>
        <v>RURAL</v>
      </c>
      <c r="I590" s="25" t="str">
        <f ca="1">IFERROR(__xludf.DUMMYFUNCTION("""COMPUTED_VALUE"""),"Prioridad 3")</f>
        <v>Prioridad 3</v>
      </c>
      <c r="J590" s="43" t="s">
        <v>264</v>
      </c>
    </row>
    <row r="591" spans="2:10">
      <c r="B591" s="25" t="str">
        <f ca="1">IFERROR(__xludf.DUMMYFUNCTION("""COMPUTED_VALUE"""),"MUNICIPALIDAD DISTRITAL")</f>
        <v>MUNICIPALIDAD DISTRITAL</v>
      </c>
      <c r="C591" s="25" t="str">
        <f ca="1">IFERROR(__xludf.DUMMYFUNCTION("""COMPUTED_VALUE"""),"MUNICIPALIDAD DISTRITAL DE SAN JUAN EN CAJAMARCA")</f>
        <v>MUNICIPALIDAD DISTRITAL DE SAN JUAN EN CAJAMARCA</v>
      </c>
      <c r="D591" s="25" t="str">
        <f ca="1">IFERROR(__xludf.DUMMYFUNCTION("""COMPUTED_VALUE"""),"CAJAMARCA")</f>
        <v>CAJAMARCA</v>
      </c>
      <c r="E591" s="25" t="str">
        <f ca="1">IFERROR(__xludf.DUMMYFUNCTION("""COMPUTED_VALUE"""),"CAJAMARCA")</f>
        <v>CAJAMARCA</v>
      </c>
      <c r="F591" s="25" t="str">
        <f ca="1">IFERROR(__xludf.DUMMYFUNCTION("""COMPUTED_VALUE"""),"CAJAMARCA")</f>
        <v>CAJAMARCA</v>
      </c>
      <c r="G591" s="25" t="str">
        <f ca="1">IFERROR(__xludf.DUMMYFUNCTION("""COMPUTED_VALUE"""),"SAN JUAN")</f>
        <v>SAN JUAN</v>
      </c>
      <c r="H591" s="25" t="str">
        <f ca="1">IFERROR(__xludf.DUMMYFUNCTION("""COMPUTED_VALUE"""),"RURAL")</f>
        <v>RURAL</v>
      </c>
      <c r="I591" s="25" t="str">
        <f ca="1">IFERROR(__xludf.DUMMYFUNCTION("""COMPUTED_VALUE"""),"Prioridad 5")</f>
        <v>Prioridad 5</v>
      </c>
      <c r="J591" s="43" t="s">
        <v>264</v>
      </c>
    </row>
    <row r="592" spans="2:10">
      <c r="B592" s="25" t="str">
        <f ca="1">IFERROR(__xludf.DUMMYFUNCTION("""COMPUTED_VALUE"""),"GOBIERNO REGIONAL")</f>
        <v>GOBIERNO REGIONAL</v>
      </c>
      <c r="C592" s="25" t="str">
        <f ca="1">IFERROR(__xludf.DUMMYFUNCTION("""COMPUTED_VALUE"""),"GOBIERNO REGIONAL DE CAJAMARCA")</f>
        <v>GOBIERNO REGIONAL DE CAJAMARCA</v>
      </c>
      <c r="D592" s="25" t="str">
        <f ca="1">IFERROR(__xludf.DUMMYFUNCTION("""COMPUTED_VALUE"""),"CAJAMARCA")</f>
        <v>CAJAMARCA</v>
      </c>
      <c r="E592" s="25" t="str">
        <f ca="1">IFERROR(__xludf.DUMMYFUNCTION("""COMPUTED_VALUE"""),"CAJAMARCA")</f>
        <v>CAJAMARCA</v>
      </c>
      <c r="F592" s="25" t="str">
        <f ca="1">IFERROR(__xludf.DUMMYFUNCTION("""COMPUTED_VALUE"""),"CAJAMARCA ")</f>
        <v xml:space="preserve">CAJAMARCA </v>
      </c>
      <c r="G592" s="25" t="str">
        <f ca="1">IFERROR(__xludf.DUMMYFUNCTION("""COMPUTED_VALUE"""),"CAJAMARCA ")</f>
        <v xml:space="preserve">CAJAMARCA </v>
      </c>
      <c r="H592" s="25"/>
      <c r="I592" s="25" t="str">
        <f ca="1">IFERROR(__xludf.DUMMYFUNCTION("""COMPUTED_VALUE"""),"Prioridad 1")</f>
        <v>Prioridad 1</v>
      </c>
      <c r="J592" s="43" t="s">
        <v>264</v>
      </c>
    </row>
    <row r="593" spans="2:10">
      <c r="B593" s="25" t="str">
        <f ca="1">IFERROR(__xludf.DUMMYFUNCTION("""COMPUTED_VALUE"""),"MUNICIPALIDAD PROVINCIAL")</f>
        <v>MUNICIPALIDAD PROVINCIAL</v>
      </c>
      <c r="C593" s="25" t="str">
        <f ca="1">IFERROR(__xludf.DUMMYFUNCTION("""COMPUTED_VALUE"""),"MUNICIPALIDAD PROVINCIAL DE CELENDIN")</f>
        <v>MUNICIPALIDAD PROVINCIAL DE CELENDIN</v>
      </c>
      <c r="D593" s="25" t="str">
        <f ca="1">IFERROR(__xludf.DUMMYFUNCTION("""COMPUTED_VALUE"""),"CAJAMARCA")</f>
        <v>CAJAMARCA</v>
      </c>
      <c r="E593" s="25" t="str">
        <f ca="1">IFERROR(__xludf.DUMMYFUNCTION("""COMPUTED_VALUE"""),"CAJAMARCA")</f>
        <v>CAJAMARCA</v>
      </c>
      <c r="F593" s="25" t="str">
        <f ca="1">IFERROR(__xludf.DUMMYFUNCTION("""COMPUTED_VALUE"""),"CELENDIN")</f>
        <v>CELENDIN</v>
      </c>
      <c r="G593" s="25" t="str">
        <f ca="1">IFERROR(__xludf.DUMMYFUNCTION("""COMPUTED_VALUE"""),"CELENDIN")</f>
        <v>CELENDIN</v>
      </c>
      <c r="H593" s="25" t="str">
        <f ca="1">IFERROR(__xludf.DUMMYFUNCTION("""COMPUTED_VALUE"""),"URBANO")</f>
        <v>URBANO</v>
      </c>
      <c r="I593" s="25" t="str">
        <f ca="1">IFERROR(__xludf.DUMMYFUNCTION("""COMPUTED_VALUE"""),"Prioridad 1")</f>
        <v>Prioridad 1</v>
      </c>
      <c r="J593" s="43" t="s">
        <v>264</v>
      </c>
    </row>
    <row r="594" spans="2:10">
      <c r="B594" s="25" t="str">
        <f ca="1">IFERROR(__xludf.DUMMYFUNCTION("""COMPUTED_VALUE"""),"MUNICIPALIDAD DISTRITAL")</f>
        <v>MUNICIPALIDAD DISTRITAL</v>
      </c>
      <c r="C594" s="25" t="str">
        <f ca="1">IFERROR(__xludf.DUMMYFUNCTION("""COMPUTED_VALUE"""),"MUNICIPALIDAD DISTRITAL DE JORGE CHAVEZ")</f>
        <v>MUNICIPALIDAD DISTRITAL DE JORGE CHAVEZ</v>
      </c>
      <c r="D594" s="25" t="str">
        <f ca="1">IFERROR(__xludf.DUMMYFUNCTION("""COMPUTED_VALUE"""),"CAJAMARCA")</f>
        <v>CAJAMARCA</v>
      </c>
      <c r="E594" s="25" t="str">
        <f ca="1">IFERROR(__xludf.DUMMYFUNCTION("""COMPUTED_VALUE"""),"CAJAMARCA")</f>
        <v>CAJAMARCA</v>
      </c>
      <c r="F594" s="25" t="str">
        <f ca="1">IFERROR(__xludf.DUMMYFUNCTION("""COMPUTED_VALUE"""),"CELENDIN")</f>
        <v>CELENDIN</v>
      </c>
      <c r="G594" s="25" t="str">
        <f ca="1">IFERROR(__xludf.DUMMYFUNCTION("""COMPUTED_VALUE"""),"JORGE CHAVEZ")</f>
        <v>JORGE CHAVEZ</v>
      </c>
      <c r="H594" s="25" t="str">
        <f ca="1">IFERROR(__xludf.DUMMYFUNCTION("""COMPUTED_VALUE"""),"RURAL")</f>
        <v>RURAL</v>
      </c>
      <c r="I594" s="25" t="str">
        <f ca="1">IFERROR(__xludf.DUMMYFUNCTION("""COMPUTED_VALUE"""),"Prioridad 4")</f>
        <v>Prioridad 4</v>
      </c>
      <c r="J594" s="43" t="s">
        <v>264</v>
      </c>
    </row>
    <row r="595" spans="2:10">
      <c r="B595" s="25" t="str">
        <f ca="1">IFERROR(__xludf.DUMMYFUNCTION("""COMPUTED_VALUE"""),"MUNICIPALIDAD DISTRITAL")</f>
        <v>MUNICIPALIDAD DISTRITAL</v>
      </c>
      <c r="C595" s="25" t="str">
        <f ca="1">IFERROR(__xludf.DUMMYFUNCTION("""COMPUTED_VALUE"""),"MUNICIPALIDAD DISTRITAL DE CHUMUCH")</f>
        <v>MUNICIPALIDAD DISTRITAL DE CHUMUCH</v>
      </c>
      <c r="D595" s="25" t="str">
        <f ca="1">IFERROR(__xludf.DUMMYFUNCTION("""COMPUTED_VALUE"""),"CAJAMARCA")</f>
        <v>CAJAMARCA</v>
      </c>
      <c r="E595" s="25" t="str">
        <f ca="1">IFERROR(__xludf.DUMMYFUNCTION("""COMPUTED_VALUE"""),"CAJAMARCA")</f>
        <v>CAJAMARCA</v>
      </c>
      <c r="F595" s="25" t="str">
        <f ca="1">IFERROR(__xludf.DUMMYFUNCTION("""COMPUTED_VALUE"""),"CELENDIN")</f>
        <v>CELENDIN</v>
      </c>
      <c r="G595" s="25" t="str">
        <f ca="1">IFERROR(__xludf.DUMMYFUNCTION("""COMPUTED_VALUE"""),"CHUMUCH")</f>
        <v>CHUMUCH</v>
      </c>
      <c r="H595" s="25" t="str">
        <f ca="1">IFERROR(__xludf.DUMMYFUNCTION("""COMPUTED_VALUE"""),"RURAL")</f>
        <v>RURAL</v>
      </c>
      <c r="I595" s="25" t="str">
        <f ca="1">IFERROR(__xludf.DUMMYFUNCTION("""COMPUTED_VALUE"""),"Prioridad 5")</f>
        <v>Prioridad 5</v>
      </c>
      <c r="J595" s="43" t="s">
        <v>264</v>
      </c>
    </row>
    <row r="596" spans="2:10">
      <c r="B596" s="25" t="str">
        <f ca="1">IFERROR(__xludf.DUMMYFUNCTION("""COMPUTED_VALUE"""),"MUNICIPALIDAD DISTRITAL")</f>
        <v>MUNICIPALIDAD DISTRITAL</v>
      </c>
      <c r="C596" s="25" t="str">
        <f ca="1">IFERROR(__xludf.DUMMYFUNCTION("""COMPUTED_VALUE"""),"MUNICIPALIDAD DISTRITAL DE CORTEGANA")</f>
        <v>MUNICIPALIDAD DISTRITAL DE CORTEGANA</v>
      </c>
      <c r="D596" s="25" t="str">
        <f ca="1">IFERROR(__xludf.DUMMYFUNCTION("""COMPUTED_VALUE"""),"CAJAMARCA")</f>
        <v>CAJAMARCA</v>
      </c>
      <c r="E596" s="25" t="str">
        <f ca="1">IFERROR(__xludf.DUMMYFUNCTION("""COMPUTED_VALUE"""),"CAJAMARCA")</f>
        <v>CAJAMARCA</v>
      </c>
      <c r="F596" s="25" t="str">
        <f ca="1">IFERROR(__xludf.DUMMYFUNCTION("""COMPUTED_VALUE"""),"CELENDIN")</f>
        <v>CELENDIN</v>
      </c>
      <c r="G596" s="25" t="str">
        <f ca="1">IFERROR(__xludf.DUMMYFUNCTION("""COMPUTED_VALUE"""),"CORTEGANA")</f>
        <v>CORTEGANA</v>
      </c>
      <c r="H596" s="25" t="str">
        <f ca="1">IFERROR(__xludf.DUMMYFUNCTION("""COMPUTED_VALUE"""),"RURAL")</f>
        <v>RURAL</v>
      </c>
      <c r="I596" s="25" t="str">
        <f ca="1">IFERROR(__xludf.DUMMYFUNCTION("""COMPUTED_VALUE"""),"Prioridad 5")</f>
        <v>Prioridad 5</v>
      </c>
      <c r="J596" s="43" t="s">
        <v>264</v>
      </c>
    </row>
    <row r="597" spans="2:10">
      <c r="B597" s="25" t="str">
        <f ca="1">IFERROR(__xludf.DUMMYFUNCTION("""COMPUTED_VALUE"""),"MUNICIPALIDAD DISTRITAL")</f>
        <v>MUNICIPALIDAD DISTRITAL</v>
      </c>
      <c r="C597" s="25" t="str">
        <f ca="1">IFERROR(__xludf.DUMMYFUNCTION("""COMPUTED_VALUE"""),"MUNICIPALIDAD DISTRITAL DE HUASMIN")</f>
        <v>MUNICIPALIDAD DISTRITAL DE HUASMIN</v>
      </c>
      <c r="D597" s="25" t="str">
        <f ca="1">IFERROR(__xludf.DUMMYFUNCTION("""COMPUTED_VALUE"""),"CAJAMARCA")</f>
        <v>CAJAMARCA</v>
      </c>
      <c r="E597" s="25" t="str">
        <f ca="1">IFERROR(__xludf.DUMMYFUNCTION("""COMPUTED_VALUE"""),"CAJAMARCA")</f>
        <v>CAJAMARCA</v>
      </c>
      <c r="F597" s="25" t="str">
        <f ca="1">IFERROR(__xludf.DUMMYFUNCTION("""COMPUTED_VALUE"""),"CELENDIN")</f>
        <v>CELENDIN</v>
      </c>
      <c r="G597" s="25" t="str">
        <f ca="1">IFERROR(__xludf.DUMMYFUNCTION("""COMPUTED_VALUE"""),"HUASMIN")</f>
        <v>HUASMIN</v>
      </c>
      <c r="H597" s="25" t="str">
        <f ca="1">IFERROR(__xludf.DUMMYFUNCTION("""COMPUTED_VALUE"""),"RURAL")</f>
        <v>RURAL</v>
      </c>
      <c r="I597" s="25" t="str">
        <f ca="1">IFERROR(__xludf.DUMMYFUNCTION("""COMPUTED_VALUE"""),"Prioridad 5")</f>
        <v>Prioridad 5</v>
      </c>
      <c r="J597" s="43" t="s">
        <v>264</v>
      </c>
    </row>
    <row r="598" spans="2:10">
      <c r="B598" s="25" t="str">
        <f ca="1">IFERROR(__xludf.DUMMYFUNCTION("""COMPUTED_VALUE"""),"MUNICIPALIDAD DISTRITAL")</f>
        <v>MUNICIPALIDAD DISTRITAL</v>
      </c>
      <c r="C598" s="25" t="str">
        <f ca="1">IFERROR(__xludf.DUMMYFUNCTION("""COMPUTED_VALUE"""),"MUNICIPALIDAD DISTRITAL DE JOSE GALVEZ")</f>
        <v>MUNICIPALIDAD DISTRITAL DE JOSE GALVEZ</v>
      </c>
      <c r="D598" s="25" t="str">
        <f ca="1">IFERROR(__xludf.DUMMYFUNCTION("""COMPUTED_VALUE"""),"CAJAMARCA")</f>
        <v>CAJAMARCA</v>
      </c>
      <c r="E598" s="25" t="str">
        <f ca="1">IFERROR(__xludf.DUMMYFUNCTION("""COMPUTED_VALUE"""),"CAJAMARCA")</f>
        <v>CAJAMARCA</v>
      </c>
      <c r="F598" s="25" t="str">
        <f ca="1">IFERROR(__xludf.DUMMYFUNCTION("""COMPUTED_VALUE"""),"CELENDIN")</f>
        <v>CELENDIN</v>
      </c>
      <c r="G598" s="25" t="str">
        <f ca="1">IFERROR(__xludf.DUMMYFUNCTION("""COMPUTED_VALUE"""),"JOSE GALVEZ")</f>
        <v>JOSE GALVEZ</v>
      </c>
      <c r="H598" s="25" t="str">
        <f ca="1">IFERROR(__xludf.DUMMYFUNCTION("""COMPUTED_VALUE"""),"RURAL")</f>
        <v>RURAL</v>
      </c>
      <c r="I598" s="25" t="str">
        <f ca="1">IFERROR(__xludf.DUMMYFUNCTION("""COMPUTED_VALUE"""),"Prioridad 3")</f>
        <v>Prioridad 3</v>
      </c>
      <c r="J598" s="43" t="s">
        <v>264</v>
      </c>
    </row>
    <row r="599" spans="2:10">
      <c r="B599" s="25" t="str">
        <f ca="1">IFERROR(__xludf.DUMMYFUNCTION("""COMPUTED_VALUE"""),"MUNICIPALIDAD DISTRITAL")</f>
        <v>MUNICIPALIDAD DISTRITAL</v>
      </c>
      <c r="C599" s="25" t="str">
        <f ca="1">IFERROR(__xludf.DUMMYFUNCTION("""COMPUTED_VALUE"""),"MUNICIPALIDAD DISTRITAL DE MIGUEL IGLESIAS")</f>
        <v>MUNICIPALIDAD DISTRITAL DE MIGUEL IGLESIAS</v>
      </c>
      <c r="D599" s="25" t="str">
        <f ca="1">IFERROR(__xludf.DUMMYFUNCTION("""COMPUTED_VALUE"""),"CAJAMARCA")</f>
        <v>CAJAMARCA</v>
      </c>
      <c r="E599" s="25" t="str">
        <f ca="1">IFERROR(__xludf.DUMMYFUNCTION("""COMPUTED_VALUE"""),"CAJAMARCA")</f>
        <v>CAJAMARCA</v>
      </c>
      <c r="F599" s="25" t="str">
        <f ca="1">IFERROR(__xludf.DUMMYFUNCTION("""COMPUTED_VALUE"""),"CELENDIN")</f>
        <v>CELENDIN</v>
      </c>
      <c r="G599" s="25" t="str">
        <f ca="1">IFERROR(__xludf.DUMMYFUNCTION("""COMPUTED_VALUE"""),"MIGUEL IGLESIAS")</f>
        <v>MIGUEL IGLESIAS</v>
      </c>
      <c r="H599" s="25" t="str">
        <f ca="1">IFERROR(__xludf.DUMMYFUNCTION("""COMPUTED_VALUE"""),"RURAL")</f>
        <v>RURAL</v>
      </c>
      <c r="I599" s="25" t="str">
        <f ca="1">IFERROR(__xludf.DUMMYFUNCTION("""COMPUTED_VALUE"""),"Prioridad 5")</f>
        <v>Prioridad 5</v>
      </c>
      <c r="J599" s="43" t="s">
        <v>264</v>
      </c>
    </row>
    <row r="600" spans="2:10">
      <c r="B600" s="25" t="str">
        <f ca="1">IFERROR(__xludf.DUMMYFUNCTION("""COMPUTED_VALUE"""),"MUNICIPALIDAD DISTRITAL")</f>
        <v>MUNICIPALIDAD DISTRITAL</v>
      </c>
      <c r="C600" s="25" t="str">
        <f ca="1">IFERROR(__xludf.DUMMYFUNCTION("""COMPUTED_VALUE"""),"MUNICIPALIDAD DISTRITAL DE OXAMARCA")</f>
        <v>MUNICIPALIDAD DISTRITAL DE OXAMARCA</v>
      </c>
      <c r="D600" s="25" t="str">
        <f ca="1">IFERROR(__xludf.DUMMYFUNCTION("""COMPUTED_VALUE"""),"CAJAMARCA")</f>
        <v>CAJAMARCA</v>
      </c>
      <c r="E600" s="25" t="str">
        <f ca="1">IFERROR(__xludf.DUMMYFUNCTION("""COMPUTED_VALUE"""),"CAJAMARCA")</f>
        <v>CAJAMARCA</v>
      </c>
      <c r="F600" s="25" t="str">
        <f ca="1">IFERROR(__xludf.DUMMYFUNCTION("""COMPUTED_VALUE"""),"CELENDIN")</f>
        <v>CELENDIN</v>
      </c>
      <c r="G600" s="25" t="str">
        <f ca="1">IFERROR(__xludf.DUMMYFUNCTION("""COMPUTED_VALUE"""),"OXAMARCA")</f>
        <v>OXAMARCA</v>
      </c>
      <c r="H600" s="25" t="str">
        <f ca="1">IFERROR(__xludf.DUMMYFUNCTION("""COMPUTED_VALUE"""),"RURAL")</f>
        <v>RURAL</v>
      </c>
      <c r="I600" s="25" t="str">
        <f ca="1">IFERROR(__xludf.DUMMYFUNCTION("""COMPUTED_VALUE"""),"Prioridad 5")</f>
        <v>Prioridad 5</v>
      </c>
      <c r="J600" s="43" t="s">
        <v>264</v>
      </c>
    </row>
    <row r="601" spans="2:10">
      <c r="B601" s="25" t="str">
        <f ca="1">IFERROR(__xludf.DUMMYFUNCTION("""COMPUTED_VALUE"""),"MUNICIPALIDAD DISTRITAL")</f>
        <v>MUNICIPALIDAD DISTRITAL</v>
      </c>
      <c r="C601" s="25" t="str">
        <f ca="1">IFERROR(__xludf.DUMMYFUNCTION("""COMPUTED_VALUE"""),"MUNICIPALIDAD DISTRITAL DE SOROCHUCO")</f>
        <v>MUNICIPALIDAD DISTRITAL DE SOROCHUCO</v>
      </c>
      <c r="D601" s="25" t="str">
        <f ca="1">IFERROR(__xludf.DUMMYFUNCTION("""COMPUTED_VALUE"""),"CAJAMARCA")</f>
        <v>CAJAMARCA</v>
      </c>
      <c r="E601" s="25" t="str">
        <f ca="1">IFERROR(__xludf.DUMMYFUNCTION("""COMPUTED_VALUE"""),"CAJAMARCA")</f>
        <v>CAJAMARCA</v>
      </c>
      <c r="F601" s="25" t="str">
        <f ca="1">IFERROR(__xludf.DUMMYFUNCTION("""COMPUTED_VALUE"""),"CELENDIN")</f>
        <v>CELENDIN</v>
      </c>
      <c r="G601" s="25" t="str">
        <f ca="1">IFERROR(__xludf.DUMMYFUNCTION("""COMPUTED_VALUE"""),"SOROCHUCO")</f>
        <v>SOROCHUCO</v>
      </c>
      <c r="H601" s="25" t="str">
        <f ca="1">IFERROR(__xludf.DUMMYFUNCTION("""COMPUTED_VALUE"""),"RURAL")</f>
        <v>RURAL</v>
      </c>
      <c r="I601" s="25" t="str">
        <f ca="1">IFERROR(__xludf.DUMMYFUNCTION("""COMPUTED_VALUE"""),"Prioridad 5")</f>
        <v>Prioridad 5</v>
      </c>
      <c r="J601" s="43" t="s">
        <v>264</v>
      </c>
    </row>
    <row r="602" spans="2:10">
      <c r="B602" s="25" t="str">
        <f ca="1">IFERROR(__xludf.DUMMYFUNCTION("""COMPUTED_VALUE"""),"MUNICIPALIDAD DISTRITAL")</f>
        <v>MUNICIPALIDAD DISTRITAL</v>
      </c>
      <c r="C602" s="25" t="str">
        <f ca="1">IFERROR(__xludf.DUMMYFUNCTION("""COMPUTED_VALUE"""),"MUNICIPALIDAD DISTRITAL DE SUCRE")</f>
        <v>MUNICIPALIDAD DISTRITAL DE SUCRE</v>
      </c>
      <c r="D602" s="25" t="str">
        <f ca="1">IFERROR(__xludf.DUMMYFUNCTION("""COMPUTED_VALUE"""),"CAJAMARCA")</f>
        <v>CAJAMARCA</v>
      </c>
      <c r="E602" s="25" t="str">
        <f ca="1">IFERROR(__xludf.DUMMYFUNCTION("""COMPUTED_VALUE"""),"CAJAMARCA")</f>
        <v>CAJAMARCA</v>
      </c>
      <c r="F602" s="25" t="str">
        <f ca="1">IFERROR(__xludf.DUMMYFUNCTION("""COMPUTED_VALUE"""),"CELENDIN")</f>
        <v>CELENDIN</v>
      </c>
      <c r="G602" s="25" t="str">
        <f ca="1">IFERROR(__xludf.DUMMYFUNCTION("""COMPUTED_VALUE"""),"SUCRE")</f>
        <v>SUCRE</v>
      </c>
      <c r="H602" s="25" t="str">
        <f ca="1">IFERROR(__xludf.DUMMYFUNCTION("""COMPUTED_VALUE"""),"RURAL")</f>
        <v>RURAL</v>
      </c>
      <c r="I602" s="25" t="str">
        <f ca="1">IFERROR(__xludf.DUMMYFUNCTION("""COMPUTED_VALUE"""),"Prioridad 5")</f>
        <v>Prioridad 5</v>
      </c>
      <c r="J602" s="43" t="s">
        <v>264</v>
      </c>
    </row>
    <row r="603" spans="2:10">
      <c r="B603" s="25" t="str">
        <f ca="1">IFERROR(__xludf.DUMMYFUNCTION("""COMPUTED_VALUE"""),"MUNICIPALIDAD DISTRITAL")</f>
        <v>MUNICIPALIDAD DISTRITAL</v>
      </c>
      <c r="C603" s="25" t="str">
        <f ca="1">IFERROR(__xludf.DUMMYFUNCTION("""COMPUTED_VALUE"""),"MUNICIPALIDAD DISTRITAL DE UTCO")</f>
        <v>MUNICIPALIDAD DISTRITAL DE UTCO</v>
      </c>
      <c r="D603" s="25" t="str">
        <f ca="1">IFERROR(__xludf.DUMMYFUNCTION("""COMPUTED_VALUE"""),"CAJAMARCA")</f>
        <v>CAJAMARCA</v>
      </c>
      <c r="E603" s="25" t="str">
        <f ca="1">IFERROR(__xludf.DUMMYFUNCTION("""COMPUTED_VALUE"""),"CAJAMARCA")</f>
        <v>CAJAMARCA</v>
      </c>
      <c r="F603" s="25" t="str">
        <f ca="1">IFERROR(__xludf.DUMMYFUNCTION("""COMPUTED_VALUE"""),"CELENDIN")</f>
        <v>CELENDIN</v>
      </c>
      <c r="G603" s="25" t="str">
        <f ca="1">IFERROR(__xludf.DUMMYFUNCTION("""COMPUTED_VALUE"""),"UTCO")</f>
        <v>UTCO</v>
      </c>
      <c r="H603" s="25" t="str">
        <f ca="1">IFERROR(__xludf.DUMMYFUNCTION("""COMPUTED_VALUE"""),"RURAL")</f>
        <v>RURAL</v>
      </c>
      <c r="I603" s="25" t="str">
        <f ca="1">IFERROR(__xludf.DUMMYFUNCTION("""COMPUTED_VALUE"""),"Prioridad 5")</f>
        <v>Prioridad 5</v>
      </c>
      <c r="J603" s="43" t="s">
        <v>264</v>
      </c>
    </row>
    <row r="604" spans="2:10">
      <c r="B604" s="25" t="str">
        <f ca="1">IFERROR(__xludf.DUMMYFUNCTION("""COMPUTED_VALUE"""),"MUNICIPALIDAD DISTRITAL")</f>
        <v>MUNICIPALIDAD DISTRITAL</v>
      </c>
      <c r="C604" s="25" t="str">
        <f ca="1">IFERROR(__xludf.DUMMYFUNCTION("""COMPUTED_VALUE"""),"MUNICIPALIDAD DISTRITAL DE LA LIBERTAD DE PALLAN")</f>
        <v>MUNICIPALIDAD DISTRITAL DE LA LIBERTAD DE PALLAN</v>
      </c>
      <c r="D604" s="25" t="str">
        <f ca="1">IFERROR(__xludf.DUMMYFUNCTION("""COMPUTED_VALUE"""),"CAJAMARCA")</f>
        <v>CAJAMARCA</v>
      </c>
      <c r="E604" s="25" t="str">
        <f ca="1">IFERROR(__xludf.DUMMYFUNCTION("""COMPUTED_VALUE"""),"CAJAMARCA")</f>
        <v>CAJAMARCA</v>
      </c>
      <c r="F604" s="25" t="str">
        <f ca="1">IFERROR(__xludf.DUMMYFUNCTION("""COMPUTED_VALUE"""),"CELENDIN")</f>
        <v>CELENDIN</v>
      </c>
      <c r="G604" s="25" t="str">
        <f ca="1">IFERROR(__xludf.DUMMYFUNCTION("""COMPUTED_VALUE"""),"LA LIBERTAD DE PALLAN")</f>
        <v>LA LIBERTAD DE PALLAN</v>
      </c>
      <c r="H604" s="25" t="str">
        <f ca="1">IFERROR(__xludf.DUMMYFUNCTION("""COMPUTED_VALUE"""),"RURAL")</f>
        <v>RURAL</v>
      </c>
      <c r="I604" s="25" t="str">
        <f ca="1">IFERROR(__xludf.DUMMYFUNCTION("""COMPUTED_VALUE"""),"Prioridad 5")</f>
        <v>Prioridad 5</v>
      </c>
      <c r="J604" s="43" t="s">
        <v>264</v>
      </c>
    </row>
    <row r="605" spans="2:10">
      <c r="B605" s="25" t="str">
        <f ca="1">IFERROR(__xludf.DUMMYFUNCTION("""COMPUTED_VALUE"""),"MUNICIPALIDAD PROVINCIAL")</f>
        <v>MUNICIPALIDAD PROVINCIAL</v>
      </c>
      <c r="C605" s="25" t="str">
        <f ca="1">IFERROR(__xludf.DUMMYFUNCTION("""COMPUTED_VALUE"""),"MUNICIPALIDAD PROVINCIAL DE CHOTA")</f>
        <v>MUNICIPALIDAD PROVINCIAL DE CHOTA</v>
      </c>
      <c r="D605" s="25" t="str">
        <f ca="1">IFERROR(__xludf.DUMMYFUNCTION("""COMPUTED_VALUE"""),"CAJAMARCA")</f>
        <v>CAJAMARCA</v>
      </c>
      <c r="E605" s="25" t="str">
        <f ca="1">IFERROR(__xludf.DUMMYFUNCTION("""COMPUTED_VALUE"""),"CAJAMARCA")</f>
        <v>CAJAMARCA</v>
      </c>
      <c r="F605" s="25" t="str">
        <f ca="1">IFERROR(__xludf.DUMMYFUNCTION("""COMPUTED_VALUE"""),"CHOTA")</f>
        <v>CHOTA</v>
      </c>
      <c r="G605" s="25" t="str">
        <f ca="1">IFERROR(__xludf.DUMMYFUNCTION("""COMPUTED_VALUE"""),"CHOTA")</f>
        <v>CHOTA</v>
      </c>
      <c r="H605" s="25" t="str">
        <f ca="1">IFERROR(__xludf.DUMMYFUNCTION("""COMPUTED_VALUE"""),"RURAL")</f>
        <v>RURAL</v>
      </c>
      <c r="I605" s="25" t="str">
        <f ca="1">IFERROR(__xludf.DUMMYFUNCTION("""COMPUTED_VALUE"""),"Prioridad 1")</f>
        <v>Prioridad 1</v>
      </c>
      <c r="J605" s="43" t="s">
        <v>264</v>
      </c>
    </row>
    <row r="606" spans="2:10">
      <c r="B606" s="25" t="str">
        <f ca="1">IFERROR(__xludf.DUMMYFUNCTION("""COMPUTED_VALUE"""),"MUNICIPALIDAD DISTRITAL")</f>
        <v>MUNICIPALIDAD DISTRITAL</v>
      </c>
      <c r="C606" s="25" t="str">
        <f ca="1">IFERROR(__xludf.DUMMYFUNCTION("""COMPUTED_VALUE"""),"MUNICIPALIDAD DISTRITAL DE LLAMA EN CHOTA")</f>
        <v>MUNICIPALIDAD DISTRITAL DE LLAMA EN CHOTA</v>
      </c>
      <c r="D606" s="25" t="str">
        <f ca="1">IFERROR(__xludf.DUMMYFUNCTION("""COMPUTED_VALUE"""),"CAJAMARCA")</f>
        <v>CAJAMARCA</v>
      </c>
      <c r="E606" s="25" t="str">
        <f ca="1">IFERROR(__xludf.DUMMYFUNCTION("""COMPUTED_VALUE"""),"CAJAMARCA")</f>
        <v>CAJAMARCA</v>
      </c>
      <c r="F606" s="25" t="str">
        <f ca="1">IFERROR(__xludf.DUMMYFUNCTION("""COMPUTED_VALUE"""),"CHOTA")</f>
        <v>CHOTA</v>
      </c>
      <c r="G606" s="25" t="str">
        <f ca="1">IFERROR(__xludf.DUMMYFUNCTION("""COMPUTED_VALUE"""),"LLAMA")</f>
        <v>LLAMA</v>
      </c>
      <c r="H606" s="25" t="str">
        <f ca="1">IFERROR(__xludf.DUMMYFUNCTION("""COMPUTED_VALUE"""),"RURAL")</f>
        <v>RURAL</v>
      </c>
      <c r="I606" s="25" t="str">
        <f ca="1">IFERROR(__xludf.DUMMYFUNCTION("""COMPUTED_VALUE"""),"Prioridad 4")</f>
        <v>Prioridad 4</v>
      </c>
      <c r="J606" s="43" t="s">
        <v>264</v>
      </c>
    </row>
    <row r="607" spans="2:10">
      <c r="B607" s="25" t="str">
        <f ca="1">IFERROR(__xludf.DUMMYFUNCTION("""COMPUTED_VALUE"""),"MUNICIPALIDAD DISTRITAL")</f>
        <v>MUNICIPALIDAD DISTRITAL</v>
      </c>
      <c r="C607" s="25" t="str">
        <f ca="1">IFERROR(__xludf.DUMMYFUNCTION("""COMPUTED_VALUE"""),"MUNICIPALIDAD DISTRITAL DE PION")</f>
        <v>MUNICIPALIDAD DISTRITAL DE PION</v>
      </c>
      <c r="D607" s="25" t="str">
        <f ca="1">IFERROR(__xludf.DUMMYFUNCTION("""COMPUTED_VALUE"""),"CAJAMARCA")</f>
        <v>CAJAMARCA</v>
      </c>
      <c r="E607" s="25" t="str">
        <f ca="1">IFERROR(__xludf.DUMMYFUNCTION("""COMPUTED_VALUE"""),"CAJAMARCA")</f>
        <v>CAJAMARCA</v>
      </c>
      <c r="F607" s="25" t="str">
        <f ca="1">IFERROR(__xludf.DUMMYFUNCTION("""COMPUTED_VALUE"""),"CHOTA")</f>
        <v>CHOTA</v>
      </c>
      <c r="G607" s="25" t="str">
        <f ca="1">IFERROR(__xludf.DUMMYFUNCTION("""COMPUTED_VALUE"""),"PION")</f>
        <v>PION</v>
      </c>
      <c r="H607" s="25" t="str">
        <f ca="1">IFERROR(__xludf.DUMMYFUNCTION("""COMPUTED_VALUE"""),"RURAL")</f>
        <v>RURAL</v>
      </c>
      <c r="I607" s="25" t="str">
        <f ca="1">IFERROR(__xludf.DUMMYFUNCTION("""COMPUTED_VALUE"""),"Prioridad 4")</f>
        <v>Prioridad 4</v>
      </c>
      <c r="J607" s="43" t="s">
        <v>264</v>
      </c>
    </row>
    <row r="608" spans="2:10">
      <c r="B608" s="25" t="str">
        <f ca="1">IFERROR(__xludf.DUMMYFUNCTION("""COMPUTED_VALUE"""),"MUNICIPALIDAD DISTRITAL")</f>
        <v>MUNICIPALIDAD DISTRITAL</v>
      </c>
      <c r="C608" s="25" t="str">
        <f ca="1">IFERROR(__xludf.DUMMYFUNCTION("""COMPUTED_VALUE"""),"MUNICIPALIDAD DISTRITAL DE ANGUIA")</f>
        <v>MUNICIPALIDAD DISTRITAL DE ANGUIA</v>
      </c>
      <c r="D608" s="25" t="str">
        <f ca="1">IFERROR(__xludf.DUMMYFUNCTION("""COMPUTED_VALUE"""),"CAJAMARCA")</f>
        <v>CAJAMARCA</v>
      </c>
      <c r="E608" s="25" t="str">
        <f ca="1">IFERROR(__xludf.DUMMYFUNCTION("""COMPUTED_VALUE"""),"CAJAMARCA")</f>
        <v>CAJAMARCA</v>
      </c>
      <c r="F608" s="25" t="str">
        <f ca="1">IFERROR(__xludf.DUMMYFUNCTION("""COMPUTED_VALUE"""),"CHOTA")</f>
        <v>CHOTA</v>
      </c>
      <c r="G608" s="25" t="str">
        <f ca="1">IFERROR(__xludf.DUMMYFUNCTION("""COMPUTED_VALUE"""),"ANGUIA")</f>
        <v>ANGUIA</v>
      </c>
      <c r="H608" s="25" t="str">
        <f ca="1">IFERROR(__xludf.DUMMYFUNCTION("""COMPUTED_VALUE"""),"RURAL")</f>
        <v>RURAL</v>
      </c>
      <c r="I608" s="25" t="str">
        <f ca="1">IFERROR(__xludf.DUMMYFUNCTION("""COMPUTED_VALUE"""),"Prioridad 5")</f>
        <v>Prioridad 5</v>
      </c>
      <c r="J608" s="43" t="s">
        <v>264</v>
      </c>
    </row>
    <row r="609" spans="2:10">
      <c r="B609" s="25" t="str">
        <f ca="1">IFERROR(__xludf.DUMMYFUNCTION("""COMPUTED_VALUE"""),"MUNICIPALIDAD DISTRITAL")</f>
        <v>MUNICIPALIDAD DISTRITAL</v>
      </c>
      <c r="C609" s="25" t="str">
        <f ca="1">IFERROR(__xludf.DUMMYFUNCTION("""COMPUTED_VALUE"""),"MUNICIPALIDAD DISTRITAL DE CHADIN")</f>
        <v>MUNICIPALIDAD DISTRITAL DE CHADIN</v>
      </c>
      <c r="D609" s="25" t="str">
        <f ca="1">IFERROR(__xludf.DUMMYFUNCTION("""COMPUTED_VALUE"""),"CAJAMARCA")</f>
        <v>CAJAMARCA</v>
      </c>
      <c r="E609" s="25" t="str">
        <f ca="1">IFERROR(__xludf.DUMMYFUNCTION("""COMPUTED_VALUE"""),"CAJAMARCA")</f>
        <v>CAJAMARCA</v>
      </c>
      <c r="F609" s="25" t="str">
        <f ca="1">IFERROR(__xludf.DUMMYFUNCTION("""COMPUTED_VALUE"""),"CHOTA")</f>
        <v>CHOTA</v>
      </c>
      <c r="G609" s="25" t="str">
        <f ca="1">IFERROR(__xludf.DUMMYFUNCTION("""COMPUTED_VALUE"""),"CHADIN")</f>
        <v>CHADIN</v>
      </c>
      <c r="H609" s="25" t="str">
        <f ca="1">IFERROR(__xludf.DUMMYFUNCTION("""COMPUTED_VALUE"""),"RURAL")</f>
        <v>RURAL</v>
      </c>
      <c r="I609" s="25" t="str">
        <f ca="1">IFERROR(__xludf.DUMMYFUNCTION("""COMPUTED_VALUE"""),"Prioridad 5")</f>
        <v>Prioridad 5</v>
      </c>
      <c r="J609" s="43" t="s">
        <v>264</v>
      </c>
    </row>
    <row r="610" spans="2:10">
      <c r="B610" s="25" t="str">
        <f ca="1">IFERROR(__xludf.DUMMYFUNCTION("""COMPUTED_VALUE"""),"MUNICIPALIDAD DISTRITAL")</f>
        <v>MUNICIPALIDAD DISTRITAL</v>
      </c>
      <c r="C610" s="25" t="str">
        <f ca="1">IFERROR(__xludf.DUMMYFUNCTION("""COMPUTED_VALUE"""),"MUNICIPALIDAD DISTRITAL DE CHIGUIRIP")</f>
        <v>MUNICIPALIDAD DISTRITAL DE CHIGUIRIP</v>
      </c>
      <c r="D610" s="25" t="str">
        <f ca="1">IFERROR(__xludf.DUMMYFUNCTION("""COMPUTED_VALUE"""),"CAJAMARCA")</f>
        <v>CAJAMARCA</v>
      </c>
      <c r="E610" s="25" t="str">
        <f ca="1">IFERROR(__xludf.DUMMYFUNCTION("""COMPUTED_VALUE"""),"CAJAMARCA")</f>
        <v>CAJAMARCA</v>
      </c>
      <c r="F610" s="25" t="str">
        <f ca="1">IFERROR(__xludf.DUMMYFUNCTION("""COMPUTED_VALUE"""),"CHOTA")</f>
        <v>CHOTA</v>
      </c>
      <c r="G610" s="25" t="str">
        <f ca="1">IFERROR(__xludf.DUMMYFUNCTION("""COMPUTED_VALUE"""),"CHIGUIRIP")</f>
        <v>CHIGUIRIP</v>
      </c>
      <c r="H610" s="25" t="str">
        <f ca="1">IFERROR(__xludf.DUMMYFUNCTION("""COMPUTED_VALUE"""),"RURAL")</f>
        <v>RURAL</v>
      </c>
      <c r="I610" s="25" t="str">
        <f ca="1">IFERROR(__xludf.DUMMYFUNCTION("""COMPUTED_VALUE"""),"Prioridad 5")</f>
        <v>Prioridad 5</v>
      </c>
      <c r="J610" s="43" t="s">
        <v>264</v>
      </c>
    </row>
    <row r="611" spans="2:10">
      <c r="B611" s="25" t="str">
        <f ca="1">IFERROR(__xludf.DUMMYFUNCTION("""COMPUTED_VALUE"""),"MUNICIPALIDAD DISTRITAL")</f>
        <v>MUNICIPALIDAD DISTRITAL</v>
      </c>
      <c r="C611" s="25" t="str">
        <f ca="1">IFERROR(__xludf.DUMMYFUNCTION("""COMPUTED_VALUE"""),"MUNICIPALIDAD DISTRITAL DE CHIMBAN")</f>
        <v>MUNICIPALIDAD DISTRITAL DE CHIMBAN</v>
      </c>
      <c r="D611" s="25" t="str">
        <f ca="1">IFERROR(__xludf.DUMMYFUNCTION("""COMPUTED_VALUE"""),"CAJAMARCA")</f>
        <v>CAJAMARCA</v>
      </c>
      <c r="E611" s="25" t="str">
        <f ca="1">IFERROR(__xludf.DUMMYFUNCTION("""COMPUTED_VALUE"""),"CAJAMARCA")</f>
        <v>CAJAMARCA</v>
      </c>
      <c r="F611" s="25" t="str">
        <f ca="1">IFERROR(__xludf.DUMMYFUNCTION("""COMPUTED_VALUE"""),"CHOTA")</f>
        <v>CHOTA</v>
      </c>
      <c r="G611" s="25" t="str">
        <f ca="1">IFERROR(__xludf.DUMMYFUNCTION("""COMPUTED_VALUE"""),"CHIMBAN")</f>
        <v>CHIMBAN</v>
      </c>
      <c r="H611" s="25" t="str">
        <f ca="1">IFERROR(__xludf.DUMMYFUNCTION("""COMPUTED_VALUE"""),"RURAL")</f>
        <v>RURAL</v>
      </c>
      <c r="I611" s="25" t="str">
        <f ca="1">IFERROR(__xludf.DUMMYFUNCTION("""COMPUTED_VALUE"""),"Prioridad 5")</f>
        <v>Prioridad 5</v>
      </c>
      <c r="J611" s="43" t="s">
        <v>264</v>
      </c>
    </row>
    <row r="612" spans="2:10">
      <c r="B612" s="25" t="str">
        <f ca="1">IFERROR(__xludf.DUMMYFUNCTION("""COMPUTED_VALUE"""),"OTROS")</f>
        <v>OTROS</v>
      </c>
      <c r="C612" s="25" t="str">
        <f ca="1">IFERROR(__xludf.DUMMYFUNCTION("""COMPUTED_VALUE"""),"ESCUELA SUPERIOR DE FORMACIÓN ARTÍSTICA PÚBLICA ""CONDORCUNCA DE AYACUCHO""")</f>
        <v>ESCUELA SUPERIOR DE FORMACIÓN ARTÍSTICA PÚBLICA "CONDORCUNCA DE AYACUCHO"</v>
      </c>
      <c r="D612" s="25" t="str">
        <f ca="1">IFERROR(__xludf.DUMMYFUNCTION("""COMPUTED_VALUE"""),"ICA")</f>
        <v>ICA</v>
      </c>
      <c r="E612" s="25" t="str">
        <f ca="1">IFERROR(__xludf.DUMMYFUNCTION("""COMPUTED_VALUE"""),"AYACUCHO")</f>
        <v>AYACUCHO</v>
      </c>
      <c r="F612" s="25" t="str">
        <f ca="1">IFERROR(__xludf.DUMMYFUNCTION("""COMPUTED_VALUE"""),"HUAMANGA")</f>
        <v>HUAMANGA</v>
      </c>
      <c r="G612" s="25" t="str">
        <f ca="1">IFERROR(__xludf.DUMMYFUNCTION("""COMPUTED_VALUE"""),"AYACUCHO")</f>
        <v>AYACUCHO</v>
      </c>
      <c r="H612" s="25"/>
      <c r="I612" s="25" t="str">
        <f ca="1">IFERROR(__xludf.DUMMYFUNCTION("""COMPUTED_VALUE"""),"No aplica")</f>
        <v>No aplica</v>
      </c>
      <c r="J612" s="43" t="s">
        <v>264</v>
      </c>
    </row>
    <row r="613" spans="2:10">
      <c r="B613" s="25" t="str">
        <f ca="1">IFERROR(__xludf.DUMMYFUNCTION("""COMPUTED_VALUE"""),"OTROS")</f>
        <v>OTROS</v>
      </c>
      <c r="C613" s="25" t="str">
        <f ca="1">IFERROR(__xludf.DUMMYFUNCTION("""COMPUTED_VALUE"""),"ESCUELA SUPERIOR DE FORMACIÓN ARTÍSTICA PÚBLICA ""FELIPE GUAMÁN POMA DE AYALA DE AYACUCHO""")</f>
        <v>ESCUELA SUPERIOR DE FORMACIÓN ARTÍSTICA PÚBLICA "FELIPE GUAMÁN POMA DE AYALA DE AYACUCHO"</v>
      </c>
      <c r="D613" s="25" t="str">
        <f ca="1">IFERROR(__xludf.DUMMYFUNCTION("""COMPUTED_VALUE"""),"ICA")</f>
        <v>ICA</v>
      </c>
      <c r="E613" s="25" t="str">
        <f ca="1">IFERROR(__xludf.DUMMYFUNCTION("""COMPUTED_VALUE"""),"AYACUCHO")</f>
        <v>AYACUCHO</v>
      </c>
      <c r="F613" s="25" t="str">
        <f ca="1">IFERROR(__xludf.DUMMYFUNCTION("""COMPUTED_VALUE"""),"HUAMANGA")</f>
        <v>HUAMANGA</v>
      </c>
      <c r="G613" s="25" t="str">
        <f ca="1">IFERROR(__xludf.DUMMYFUNCTION("""COMPUTED_VALUE"""),"AYACUCHO")</f>
        <v>AYACUCHO</v>
      </c>
      <c r="H613" s="25"/>
      <c r="I613" s="25" t="str">
        <f ca="1">IFERROR(__xludf.DUMMYFUNCTION("""COMPUTED_VALUE"""),"No aplica")</f>
        <v>No aplica</v>
      </c>
      <c r="J613" s="43" t="s">
        <v>264</v>
      </c>
    </row>
    <row r="614" spans="2:10">
      <c r="B614" s="25" t="str">
        <f ca="1">IFERROR(__xludf.DUMMYFUNCTION("""COMPUTED_VALUE"""),"UNIVERSIDAD PRIVADA")</f>
        <v>UNIVERSIDAD PRIVADA</v>
      </c>
      <c r="C614" s="25" t="str">
        <f ca="1">IFERROR(__xludf.DUMMYFUNCTION("""COMPUTED_VALUE"""),"UNIVERSIDAD DE AYACUCHO FEDERICO FROEBEL S.A.C.")</f>
        <v>UNIVERSIDAD DE AYACUCHO FEDERICO FROEBEL S.A.C.</v>
      </c>
      <c r="D614" s="25" t="str">
        <f ca="1">IFERROR(__xludf.DUMMYFUNCTION("""COMPUTED_VALUE"""),"ICA")</f>
        <v>ICA</v>
      </c>
      <c r="E614" s="25" t="str">
        <f ca="1">IFERROR(__xludf.DUMMYFUNCTION("""COMPUTED_VALUE"""),"AYACUCHO")</f>
        <v>AYACUCHO</v>
      </c>
      <c r="F614" s="25" t="str">
        <f ca="1">IFERROR(__xludf.DUMMYFUNCTION("""COMPUTED_VALUE"""),"HUAMANGA")</f>
        <v>HUAMANGA</v>
      </c>
      <c r="G614" s="25" t="str">
        <f ca="1">IFERROR(__xludf.DUMMYFUNCTION("""COMPUTED_VALUE"""),"AYACUCHO")</f>
        <v>AYACUCHO</v>
      </c>
      <c r="H614" s="25"/>
      <c r="I614" s="25" t="str">
        <f ca="1">IFERROR(__xludf.DUMMYFUNCTION("""COMPUTED_VALUE"""),"Prioridad 4")</f>
        <v>Prioridad 4</v>
      </c>
      <c r="J614" s="43" t="s">
        <v>264</v>
      </c>
    </row>
    <row r="615" spans="2:10">
      <c r="B615" s="25" t="str">
        <f ca="1">IFERROR(__xludf.DUMMYFUNCTION("""COMPUTED_VALUE"""),"MUNICIPALIDAD DISTRITAL")</f>
        <v>MUNICIPALIDAD DISTRITAL</v>
      </c>
      <c r="C615" s="25" t="str">
        <f ca="1">IFERROR(__xludf.DUMMYFUNCTION("""COMPUTED_VALUE"""),"MUNICIPALIDAD DISTRITAL DE CHOROPAMPA")</f>
        <v>MUNICIPALIDAD DISTRITAL DE CHOROPAMPA</v>
      </c>
      <c r="D615" s="25" t="str">
        <f ca="1">IFERROR(__xludf.DUMMYFUNCTION("""COMPUTED_VALUE"""),"CAJAMARCA")</f>
        <v>CAJAMARCA</v>
      </c>
      <c r="E615" s="25" t="str">
        <f ca="1">IFERROR(__xludf.DUMMYFUNCTION("""COMPUTED_VALUE"""),"CAJAMARCA")</f>
        <v>CAJAMARCA</v>
      </c>
      <c r="F615" s="25" t="str">
        <f ca="1">IFERROR(__xludf.DUMMYFUNCTION("""COMPUTED_VALUE"""),"CHOTA")</f>
        <v>CHOTA</v>
      </c>
      <c r="G615" s="25" t="str">
        <f ca="1">IFERROR(__xludf.DUMMYFUNCTION("""COMPUTED_VALUE"""),"CHOROPAMPA")</f>
        <v>CHOROPAMPA</v>
      </c>
      <c r="H615" s="25" t="str">
        <f ca="1">IFERROR(__xludf.DUMMYFUNCTION("""COMPUTED_VALUE"""),"RURAL")</f>
        <v>RURAL</v>
      </c>
      <c r="I615" s="25" t="str">
        <f ca="1">IFERROR(__xludf.DUMMYFUNCTION("""COMPUTED_VALUE"""),"Prioridad 5")</f>
        <v>Prioridad 5</v>
      </c>
      <c r="J615" s="43" t="s">
        <v>264</v>
      </c>
    </row>
    <row r="616" spans="2:10">
      <c r="B616" s="25" t="str">
        <f ca="1">IFERROR(__xludf.DUMMYFUNCTION("""COMPUTED_VALUE"""),"MUNICIPALIDAD DISTRITAL")</f>
        <v>MUNICIPALIDAD DISTRITAL</v>
      </c>
      <c r="C616" s="25" t="str">
        <f ca="1">IFERROR(__xludf.DUMMYFUNCTION("""COMPUTED_VALUE"""),"MUNICIPALIDAD DISTRITAL DE COCHABAMBA EN CHOTA")</f>
        <v>MUNICIPALIDAD DISTRITAL DE COCHABAMBA EN CHOTA</v>
      </c>
      <c r="D616" s="25" t="str">
        <f ca="1">IFERROR(__xludf.DUMMYFUNCTION("""COMPUTED_VALUE"""),"CAJAMARCA")</f>
        <v>CAJAMARCA</v>
      </c>
      <c r="E616" s="25" t="str">
        <f ca="1">IFERROR(__xludf.DUMMYFUNCTION("""COMPUTED_VALUE"""),"CAJAMARCA")</f>
        <v>CAJAMARCA</v>
      </c>
      <c r="F616" s="25" t="str">
        <f ca="1">IFERROR(__xludf.DUMMYFUNCTION("""COMPUTED_VALUE"""),"CHOTA")</f>
        <v>CHOTA</v>
      </c>
      <c r="G616" s="25" t="str">
        <f ca="1">IFERROR(__xludf.DUMMYFUNCTION("""COMPUTED_VALUE"""),"COCHABAMBA")</f>
        <v>COCHABAMBA</v>
      </c>
      <c r="H616" s="25" t="str">
        <f ca="1">IFERROR(__xludf.DUMMYFUNCTION("""COMPUTED_VALUE"""),"RURAL")</f>
        <v>RURAL</v>
      </c>
      <c r="I616" s="25" t="str">
        <f ca="1">IFERROR(__xludf.DUMMYFUNCTION("""COMPUTED_VALUE"""),"Prioridad 5")</f>
        <v>Prioridad 5</v>
      </c>
      <c r="J616" s="43" t="s">
        <v>264</v>
      </c>
    </row>
    <row r="617" spans="2:10">
      <c r="B617" s="25" t="str">
        <f ca="1">IFERROR(__xludf.DUMMYFUNCTION("""COMPUTED_VALUE"""),"MUNICIPALIDAD DISTRITAL")</f>
        <v>MUNICIPALIDAD DISTRITAL</v>
      </c>
      <c r="C617" s="25" t="str">
        <f ca="1">IFERROR(__xludf.DUMMYFUNCTION("""COMPUTED_VALUE"""),"MUNICIPALIDAD DISTRITAL DE CONCHAN")</f>
        <v>MUNICIPALIDAD DISTRITAL DE CONCHAN</v>
      </c>
      <c r="D617" s="25" t="str">
        <f ca="1">IFERROR(__xludf.DUMMYFUNCTION("""COMPUTED_VALUE"""),"CAJAMARCA")</f>
        <v>CAJAMARCA</v>
      </c>
      <c r="E617" s="25" t="str">
        <f ca="1">IFERROR(__xludf.DUMMYFUNCTION("""COMPUTED_VALUE"""),"CAJAMARCA")</f>
        <v>CAJAMARCA</v>
      </c>
      <c r="F617" s="25" t="str">
        <f ca="1">IFERROR(__xludf.DUMMYFUNCTION("""COMPUTED_VALUE"""),"CHOTA")</f>
        <v>CHOTA</v>
      </c>
      <c r="G617" s="25" t="str">
        <f ca="1">IFERROR(__xludf.DUMMYFUNCTION("""COMPUTED_VALUE"""),"CONCHAN")</f>
        <v>CONCHAN</v>
      </c>
      <c r="H617" s="25" t="str">
        <f ca="1">IFERROR(__xludf.DUMMYFUNCTION("""COMPUTED_VALUE"""),"RURAL")</f>
        <v>RURAL</v>
      </c>
      <c r="I617" s="25" t="str">
        <f ca="1">IFERROR(__xludf.DUMMYFUNCTION("""COMPUTED_VALUE"""),"Prioridad 5")</f>
        <v>Prioridad 5</v>
      </c>
      <c r="J617" s="43" t="s">
        <v>264</v>
      </c>
    </row>
    <row r="618" spans="2:10">
      <c r="B618" s="25" t="str">
        <f ca="1">IFERROR(__xludf.DUMMYFUNCTION("""COMPUTED_VALUE"""),"MUNICIPALIDAD DISTRITAL")</f>
        <v>MUNICIPALIDAD DISTRITAL</v>
      </c>
      <c r="C618" s="25" t="str">
        <f ca="1">IFERROR(__xludf.DUMMYFUNCTION("""COMPUTED_VALUE"""),"MUNICIPALIDAD DISTRITAL DE HUAMBOS")</f>
        <v>MUNICIPALIDAD DISTRITAL DE HUAMBOS</v>
      </c>
      <c r="D618" s="25" t="str">
        <f ca="1">IFERROR(__xludf.DUMMYFUNCTION("""COMPUTED_VALUE"""),"CAJAMARCA")</f>
        <v>CAJAMARCA</v>
      </c>
      <c r="E618" s="25" t="str">
        <f ca="1">IFERROR(__xludf.DUMMYFUNCTION("""COMPUTED_VALUE"""),"CAJAMARCA")</f>
        <v>CAJAMARCA</v>
      </c>
      <c r="F618" s="25" t="str">
        <f ca="1">IFERROR(__xludf.DUMMYFUNCTION("""COMPUTED_VALUE"""),"CHOTA")</f>
        <v>CHOTA</v>
      </c>
      <c r="G618" s="25" t="str">
        <f ca="1">IFERROR(__xludf.DUMMYFUNCTION("""COMPUTED_VALUE"""),"HUAMBOS")</f>
        <v>HUAMBOS</v>
      </c>
      <c r="H618" s="25" t="str">
        <f ca="1">IFERROR(__xludf.DUMMYFUNCTION("""COMPUTED_VALUE"""),"RURAL")</f>
        <v>RURAL</v>
      </c>
      <c r="I618" s="25" t="str">
        <f ca="1">IFERROR(__xludf.DUMMYFUNCTION("""COMPUTED_VALUE"""),"Prioridad 5")</f>
        <v>Prioridad 5</v>
      </c>
      <c r="J618" s="43" t="s">
        <v>264</v>
      </c>
    </row>
    <row r="619" spans="2:10">
      <c r="B619" s="25" t="str">
        <f ca="1">IFERROR(__xludf.DUMMYFUNCTION("""COMPUTED_VALUE"""),"MUNICIPALIDAD DISTRITAL")</f>
        <v>MUNICIPALIDAD DISTRITAL</v>
      </c>
      <c r="C619" s="25" t="str">
        <f ca="1">IFERROR(__xludf.DUMMYFUNCTION("""COMPUTED_VALUE"""),"MUNICIPALIDAD DISTRITAL DE LAJAS")</f>
        <v>MUNICIPALIDAD DISTRITAL DE LAJAS</v>
      </c>
      <c r="D619" s="25" t="str">
        <f ca="1">IFERROR(__xludf.DUMMYFUNCTION("""COMPUTED_VALUE"""),"CAJAMARCA")</f>
        <v>CAJAMARCA</v>
      </c>
      <c r="E619" s="25" t="str">
        <f ca="1">IFERROR(__xludf.DUMMYFUNCTION("""COMPUTED_VALUE"""),"CAJAMARCA")</f>
        <v>CAJAMARCA</v>
      </c>
      <c r="F619" s="25" t="str">
        <f ca="1">IFERROR(__xludf.DUMMYFUNCTION("""COMPUTED_VALUE"""),"CHOTA")</f>
        <v>CHOTA</v>
      </c>
      <c r="G619" s="25" t="str">
        <f ca="1">IFERROR(__xludf.DUMMYFUNCTION("""COMPUTED_VALUE"""),"LAJAS")</f>
        <v>LAJAS</v>
      </c>
      <c r="H619" s="25" t="str">
        <f ca="1">IFERROR(__xludf.DUMMYFUNCTION("""COMPUTED_VALUE"""),"RURAL")</f>
        <v>RURAL</v>
      </c>
      <c r="I619" s="25" t="str">
        <f ca="1">IFERROR(__xludf.DUMMYFUNCTION("""COMPUTED_VALUE"""),"Prioridad 5")</f>
        <v>Prioridad 5</v>
      </c>
      <c r="J619" s="43" t="s">
        <v>264</v>
      </c>
    </row>
    <row r="620" spans="2:10">
      <c r="B620" s="25" t="str">
        <f ca="1">IFERROR(__xludf.DUMMYFUNCTION("""COMPUTED_VALUE"""),"MUNICIPALIDAD DISTRITAL")</f>
        <v>MUNICIPALIDAD DISTRITAL</v>
      </c>
      <c r="C620" s="25" t="str">
        <f ca="1">IFERROR(__xludf.DUMMYFUNCTION("""COMPUTED_VALUE"""),"MUNICIPALIDAD DISTRITAL DE MIRACOSTA")</f>
        <v>MUNICIPALIDAD DISTRITAL DE MIRACOSTA</v>
      </c>
      <c r="D620" s="25" t="str">
        <f ca="1">IFERROR(__xludf.DUMMYFUNCTION("""COMPUTED_VALUE"""),"CAJAMARCA")</f>
        <v>CAJAMARCA</v>
      </c>
      <c r="E620" s="25" t="str">
        <f ca="1">IFERROR(__xludf.DUMMYFUNCTION("""COMPUTED_VALUE"""),"CAJAMARCA")</f>
        <v>CAJAMARCA</v>
      </c>
      <c r="F620" s="25" t="str">
        <f ca="1">IFERROR(__xludf.DUMMYFUNCTION("""COMPUTED_VALUE"""),"CHOTA")</f>
        <v>CHOTA</v>
      </c>
      <c r="G620" s="25" t="str">
        <f ca="1">IFERROR(__xludf.DUMMYFUNCTION("""COMPUTED_VALUE"""),"MIRACOSTA")</f>
        <v>MIRACOSTA</v>
      </c>
      <c r="H620" s="25" t="str">
        <f ca="1">IFERROR(__xludf.DUMMYFUNCTION("""COMPUTED_VALUE"""),"RURAL")</f>
        <v>RURAL</v>
      </c>
      <c r="I620" s="25" t="str">
        <f ca="1">IFERROR(__xludf.DUMMYFUNCTION("""COMPUTED_VALUE"""),"Prioridad 5")</f>
        <v>Prioridad 5</v>
      </c>
      <c r="J620" s="43" t="s">
        <v>264</v>
      </c>
    </row>
    <row r="621" spans="2:10">
      <c r="B621" s="25" t="str">
        <f ca="1">IFERROR(__xludf.DUMMYFUNCTION("""COMPUTED_VALUE"""),"MUNICIPALIDAD DISTRITAL")</f>
        <v>MUNICIPALIDAD DISTRITAL</v>
      </c>
      <c r="C621" s="25" t="str">
        <f ca="1">IFERROR(__xludf.DUMMYFUNCTION("""COMPUTED_VALUE"""),"MUNICIPALIDAD DISTRITAL DE PACCHA EN CHOTA")</f>
        <v>MUNICIPALIDAD DISTRITAL DE PACCHA EN CHOTA</v>
      </c>
      <c r="D621" s="25" t="str">
        <f ca="1">IFERROR(__xludf.DUMMYFUNCTION("""COMPUTED_VALUE"""),"CAJAMARCA")</f>
        <v>CAJAMARCA</v>
      </c>
      <c r="E621" s="25" t="str">
        <f ca="1">IFERROR(__xludf.DUMMYFUNCTION("""COMPUTED_VALUE"""),"CAJAMARCA")</f>
        <v>CAJAMARCA</v>
      </c>
      <c r="F621" s="25" t="str">
        <f ca="1">IFERROR(__xludf.DUMMYFUNCTION("""COMPUTED_VALUE"""),"CHOTA")</f>
        <v>CHOTA</v>
      </c>
      <c r="G621" s="25" t="str">
        <f ca="1">IFERROR(__xludf.DUMMYFUNCTION("""COMPUTED_VALUE"""),"PACCHA")</f>
        <v>PACCHA</v>
      </c>
      <c r="H621" s="25" t="str">
        <f ca="1">IFERROR(__xludf.DUMMYFUNCTION("""COMPUTED_VALUE"""),"RURAL")</f>
        <v>RURAL</v>
      </c>
      <c r="I621" s="25" t="str">
        <f ca="1">IFERROR(__xludf.DUMMYFUNCTION("""COMPUTED_VALUE"""),"Prioridad 5")</f>
        <v>Prioridad 5</v>
      </c>
      <c r="J621" s="43" t="s">
        <v>264</v>
      </c>
    </row>
    <row r="622" spans="2:10">
      <c r="B622" s="25" t="str">
        <f ca="1">IFERROR(__xludf.DUMMYFUNCTION("""COMPUTED_VALUE"""),"MUNICIPALIDAD DISTRITAL")</f>
        <v>MUNICIPALIDAD DISTRITAL</v>
      </c>
      <c r="C622" s="25" t="str">
        <f ca="1">IFERROR(__xludf.DUMMYFUNCTION("""COMPUTED_VALUE"""),"MUNICIPALIDAD DISTRITAL DE QUEROCOTO")</f>
        <v>MUNICIPALIDAD DISTRITAL DE QUEROCOTO</v>
      </c>
      <c r="D622" s="25" t="str">
        <f ca="1">IFERROR(__xludf.DUMMYFUNCTION("""COMPUTED_VALUE"""),"CAJAMARCA")</f>
        <v>CAJAMARCA</v>
      </c>
      <c r="E622" s="25" t="str">
        <f ca="1">IFERROR(__xludf.DUMMYFUNCTION("""COMPUTED_VALUE"""),"CAJAMARCA")</f>
        <v>CAJAMARCA</v>
      </c>
      <c r="F622" s="25" t="str">
        <f ca="1">IFERROR(__xludf.DUMMYFUNCTION("""COMPUTED_VALUE"""),"CHOTA")</f>
        <v>CHOTA</v>
      </c>
      <c r="G622" s="25" t="str">
        <f ca="1">IFERROR(__xludf.DUMMYFUNCTION("""COMPUTED_VALUE"""),"QUEROCOTO")</f>
        <v>QUEROCOTO</v>
      </c>
      <c r="H622" s="25" t="str">
        <f ca="1">IFERROR(__xludf.DUMMYFUNCTION("""COMPUTED_VALUE"""),"RURAL")</f>
        <v>RURAL</v>
      </c>
      <c r="I622" s="25" t="str">
        <f ca="1">IFERROR(__xludf.DUMMYFUNCTION("""COMPUTED_VALUE"""),"Prioridad 3")</f>
        <v>Prioridad 3</v>
      </c>
      <c r="J622" s="43" t="s">
        <v>264</v>
      </c>
    </row>
    <row r="623" spans="2:10">
      <c r="B623" s="25" t="str">
        <f ca="1">IFERROR(__xludf.DUMMYFUNCTION("""COMPUTED_VALUE"""),"MUNICIPALIDAD DISTRITAL")</f>
        <v>MUNICIPALIDAD DISTRITAL</v>
      </c>
      <c r="C623" s="25" t="str">
        <f ca="1">IFERROR(__xludf.DUMMYFUNCTION("""COMPUTED_VALUE"""),"MUNICIPALIDAD DISTRITAL DE SAN JUAN DE LICUPIS")</f>
        <v>MUNICIPALIDAD DISTRITAL DE SAN JUAN DE LICUPIS</v>
      </c>
      <c r="D623" s="25" t="str">
        <f ca="1">IFERROR(__xludf.DUMMYFUNCTION("""COMPUTED_VALUE"""),"CAJAMARCA")</f>
        <v>CAJAMARCA</v>
      </c>
      <c r="E623" s="25" t="str">
        <f ca="1">IFERROR(__xludf.DUMMYFUNCTION("""COMPUTED_VALUE"""),"CAJAMARCA")</f>
        <v>CAJAMARCA</v>
      </c>
      <c r="F623" s="25" t="str">
        <f ca="1">IFERROR(__xludf.DUMMYFUNCTION("""COMPUTED_VALUE"""),"CHOTA")</f>
        <v>CHOTA</v>
      </c>
      <c r="G623" s="25" t="str">
        <f ca="1">IFERROR(__xludf.DUMMYFUNCTION("""COMPUTED_VALUE"""),"SAN JUAN DE LICUPIS")</f>
        <v>SAN JUAN DE LICUPIS</v>
      </c>
      <c r="H623" s="25" t="str">
        <f ca="1">IFERROR(__xludf.DUMMYFUNCTION("""COMPUTED_VALUE"""),"RURAL")</f>
        <v>RURAL</v>
      </c>
      <c r="I623" s="25" t="str">
        <f ca="1">IFERROR(__xludf.DUMMYFUNCTION("""COMPUTED_VALUE"""),"Prioridad 5")</f>
        <v>Prioridad 5</v>
      </c>
      <c r="J623" s="43" t="s">
        <v>264</v>
      </c>
    </row>
    <row r="624" spans="2:10">
      <c r="B624" s="25" t="str">
        <f ca="1">IFERROR(__xludf.DUMMYFUNCTION("""COMPUTED_VALUE"""),"MUNICIPALIDAD DISTRITAL")</f>
        <v>MUNICIPALIDAD DISTRITAL</v>
      </c>
      <c r="C624" s="25" t="str">
        <f ca="1">IFERROR(__xludf.DUMMYFUNCTION("""COMPUTED_VALUE"""),"MUNICIPALIDAD DISTRITAL DE TACABAMBA")</f>
        <v>MUNICIPALIDAD DISTRITAL DE TACABAMBA</v>
      </c>
      <c r="D624" s="25" t="str">
        <f ca="1">IFERROR(__xludf.DUMMYFUNCTION("""COMPUTED_VALUE"""),"CAJAMARCA")</f>
        <v>CAJAMARCA</v>
      </c>
      <c r="E624" s="25" t="str">
        <f ca="1">IFERROR(__xludf.DUMMYFUNCTION("""COMPUTED_VALUE"""),"CAJAMARCA")</f>
        <v>CAJAMARCA</v>
      </c>
      <c r="F624" s="25" t="str">
        <f ca="1">IFERROR(__xludf.DUMMYFUNCTION("""COMPUTED_VALUE"""),"CHOTA")</f>
        <v>CHOTA</v>
      </c>
      <c r="G624" s="25" t="str">
        <f ca="1">IFERROR(__xludf.DUMMYFUNCTION("""COMPUTED_VALUE"""),"TACABAMBA")</f>
        <v>TACABAMBA</v>
      </c>
      <c r="H624" s="25" t="str">
        <f ca="1">IFERROR(__xludf.DUMMYFUNCTION("""COMPUTED_VALUE"""),"RURAL")</f>
        <v>RURAL</v>
      </c>
      <c r="I624" s="25" t="str">
        <f ca="1">IFERROR(__xludf.DUMMYFUNCTION("""COMPUTED_VALUE"""),"Prioridad 5")</f>
        <v>Prioridad 5</v>
      </c>
      <c r="J624" s="43" t="s">
        <v>264</v>
      </c>
    </row>
    <row r="625" spans="2:10">
      <c r="B625" s="25" t="str">
        <f ca="1">IFERROR(__xludf.DUMMYFUNCTION("""COMPUTED_VALUE"""),"MUNICIPALIDAD DISTRITAL")</f>
        <v>MUNICIPALIDAD DISTRITAL</v>
      </c>
      <c r="C625" s="25" t="str">
        <f ca="1">IFERROR(__xludf.DUMMYFUNCTION("""COMPUTED_VALUE"""),"MUNICIPALIDAD DISTRITAL DE TOCMOCHE")</f>
        <v>MUNICIPALIDAD DISTRITAL DE TOCMOCHE</v>
      </c>
      <c r="D625" s="25" t="str">
        <f ca="1">IFERROR(__xludf.DUMMYFUNCTION("""COMPUTED_VALUE"""),"CAJAMARCA")</f>
        <v>CAJAMARCA</v>
      </c>
      <c r="E625" s="25" t="str">
        <f ca="1">IFERROR(__xludf.DUMMYFUNCTION("""COMPUTED_VALUE"""),"CAJAMARCA")</f>
        <v>CAJAMARCA</v>
      </c>
      <c r="F625" s="25" t="str">
        <f ca="1">IFERROR(__xludf.DUMMYFUNCTION("""COMPUTED_VALUE"""),"CHOTA")</f>
        <v>CHOTA</v>
      </c>
      <c r="G625" s="25" t="str">
        <f ca="1">IFERROR(__xludf.DUMMYFUNCTION("""COMPUTED_VALUE"""),"TOCMOCHE")</f>
        <v>TOCMOCHE</v>
      </c>
      <c r="H625" s="25" t="str">
        <f ca="1">IFERROR(__xludf.DUMMYFUNCTION("""COMPUTED_VALUE"""),"RURAL")</f>
        <v>RURAL</v>
      </c>
      <c r="I625" s="25" t="str">
        <f ca="1">IFERROR(__xludf.DUMMYFUNCTION("""COMPUTED_VALUE"""),"Prioridad 5")</f>
        <v>Prioridad 5</v>
      </c>
      <c r="J625" s="43" t="s">
        <v>264</v>
      </c>
    </row>
    <row r="626" spans="2:10">
      <c r="B626" s="25" t="str">
        <f ca="1">IFERROR(__xludf.DUMMYFUNCTION("""COMPUTED_VALUE"""),"MUNICIPALIDAD DISTRITAL")</f>
        <v>MUNICIPALIDAD DISTRITAL</v>
      </c>
      <c r="C626" s="25" t="str">
        <f ca="1">IFERROR(__xludf.DUMMYFUNCTION("""COMPUTED_VALUE"""),"MUNICIPALIDAD DISTRITAL DE CHALAMARCA")</f>
        <v>MUNICIPALIDAD DISTRITAL DE CHALAMARCA</v>
      </c>
      <c r="D626" s="25" t="str">
        <f ca="1">IFERROR(__xludf.DUMMYFUNCTION("""COMPUTED_VALUE"""),"CAJAMARCA")</f>
        <v>CAJAMARCA</v>
      </c>
      <c r="E626" s="25" t="str">
        <f ca="1">IFERROR(__xludf.DUMMYFUNCTION("""COMPUTED_VALUE"""),"CAJAMARCA")</f>
        <v>CAJAMARCA</v>
      </c>
      <c r="F626" s="25" t="str">
        <f ca="1">IFERROR(__xludf.DUMMYFUNCTION("""COMPUTED_VALUE"""),"CHOTA")</f>
        <v>CHOTA</v>
      </c>
      <c r="G626" s="25" t="str">
        <f ca="1">IFERROR(__xludf.DUMMYFUNCTION("""COMPUTED_VALUE"""),"CHALAMARCA")</f>
        <v>CHALAMARCA</v>
      </c>
      <c r="H626" s="25" t="str">
        <f ca="1">IFERROR(__xludf.DUMMYFUNCTION("""COMPUTED_VALUE"""),"RURAL")</f>
        <v>RURAL</v>
      </c>
      <c r="I626" s="25" t="str">
        <f ca="1">IFERROR(__xludf.DUMMYFUNCTION("""COMPUTED_VALUE"""),"Prioridad 5")</f>
        <v>Prioridad 5</v>
      </c>
      <c r="J626" s="43" t="s">
        <v>264</v>
      </c>
    </row>
    <row r="627" spans="2:10">
      <c r="B627" s="25" t="str">
        <f ca="1">IFERROR(__xludf.DUMMYFUNCTION("""COMPUTED_VALUE"""),"MUNICIPALIDAD PROVINCIAL")</f>
        <v>MUNICIPALIDAD PROVINCIAL</v>
      </c>
      <c r="C627" s="25" t="str">
        <f ca="1">IFERROR(__xludf.DUMMYFUNCTION("""COMPUTED_VALUE"""),"MUNICIPALIDAD PROVINCIAL DE CONTUMAZA")</f>
        <v>MUNICIPALIDAD PROVINCIAL DE CONTUMAZA</v>
      </c>
      <c r="D627" s="25" t="str">
        <f ca="1">IFERROR(__xludf.DUMMYFUNCTION("""COMPUTED_VALUE"""),"CAJAMARCA")</f>
        <v>CAJAMARCA</v>
      </c>
      <c r="E627" s="25" t="str">
        <f ca="1">IFERROR(__xludf.DUMMYFUNCTION("""COMPUTED_VALUE"""),"CAJAMARCA")</f>
        <v>CAJAMARCA</v>
      </c>
      <c r="F627" s="25" t="str">
        <f ca="1">IFERROR(__xludf.DUMMYFUNCTION("""COMPUTED_VALUE"""),"CONTUMAZA")</f>
        <v>CONTUMAZA</v>
      </c>
      <c r="G627" s="25" t="str">
        <f ca="1">IFERROR(__xludf.DUMMYFUNCTION("""COMPUTED_VALUE"""),"CONTUMAZA")</f>
        <v>CONTUMAZA</v>
      </c>
      <c r="H627" s="25" t="str">
        <f ca="1">IFERROR(__xludf.DUMMYFUNCTION("""COMPUTED_VALUE"""),"RURAL")</f>
        <v>RURAL</v>
      </c>
      <c r="I627" s="25" t="str">
        <f ca="1">IFERROR(__xludf.DUMMYFUNCTION("""COMPUTED_VALUE"""),"Prioridad 1")</f>
        <v>Prioridad 1</v>
      </c>
      <c r="J627" s="43" t="s">
        <v>264</v>
      </c>
    </row>
    <row r="628" spans="2:10">
      <c r="B628" s="25" t="str">
        <f ca="1">IFERROR(__xludf.DUMMYFUNCTION("""COMPUTED_VALUE"""),"MUNICIPALIDAD DISTRITAL")</f>
        <v>MUNICIPALIDAD DISTRITAL</v>
      </c>
      <c r="C628" s="25" t="str">
        <f ca="1">IFERROR(__xludf.DUMMYFUNCTION("""COMPUTED_VALUE"""),"MUNICIPALIDAD DISTRITAL DE CHILETE")</f>
        <v>MUNICIPALIDAD DISTRITAL DE CHILETE</v>
      </c>
      <c r="D628" s="25" t="str">
        <f ca="1">IFERROR(__xludf.DUMMYFUNCTION("""COMPUTED_VALUE"""),"CAJAMARCA")</f>
        <v>CAJAMARCA</v>
      </c>
      <c r="E628" s="25" t="str">
        <f ca="1">IFERROR(__xludf.DUMMYFUNCTION("""COMPUTED_VALUE"""),"CAJAMARCA")</f>
        <v>CAJAMARCA</v>
      </c>
      <c r="F628" s="25" t="str">
        <f ca="1">IFERROR(__xludf.DUMMYFUNCTION("""COMPUTED_VALUE"""),"CONTUMAZA")</f>
        <v>CONTUMAZA</v>
      </c>
      <c r="G628" s="25" t="str">
        <f ca="1">IFERROR(__xludf.DUMMYFUNCTION("""COMPUTED_VALUE"""),"CHILETE")</f>
        <v>CHILETE</v>
      </c>
      <c r="H628" s="25" t="str">
        <f ca="1">IFERROR(__xludf.DUMMYFUNCTION("""COMPUTED_VALUE"""),"RURAL")</f>
        <v>RURAL</v>
      </c>
      <c r="I628" s="25" t="str">
        <f ca="1">IFERROR(__xludf.DUMMYFUNCTION("""COMPUTED_VALUE"""),"Prioridad 1")</f>
        <v>Prioridad 1</v>
      </c>
      <c r="J628" s="43" t="s">
        <v>264</v>
      </c>
    </row>
    <row r="629" spans="2:10">
      <c r="B629" s="25" t="str">
        <f ca="1">IFERROR(__xludf.DUMMYFUNCTION("""COMPUTED_VALUE"""),"MUNICIPALIDAD DISTRITAL")</f>
        <v>MUNICIPALIDAD DISTRITAL</v>
      </c>
      <c r="C629" s="25" t="str">
        <f ca="1">IFERROR(__xludf.DUMMYFUNCTION("""COMPUTED_VALUE"""),"MUNICIPALIDAD DISTRITAL DE TANTARICA")</f>
        <v>MUNICIPALIDAD DISTRITAL DE TANTARICA</v>
      </c>
      <c r="D629" s="25" t="str">
        <f ca="1">IFERROR(__xludf.DUMMYFUNCTION("""COMPUTED_VALUE"""),"CAJAMARCA")</f>
        <v>CAJAMARCA</v>
      </c>
      <c r="E629" s="25" t="str">
        <f ca="1">IFERROR(__xludf.DUMMYFUNCTION("""COMPUTED_VALUE"""),"CAJAMARCA")</f>
        <v>CAJAMARCA</v>
      </c>
      <c r="F629" s="25" t="str">
        <f ca="1">IFERROR(__xludf.DUMMYFUNCTION("""COMPUTED_VALUE"""),"CONTUMAZA")</f>
        <v>CONTUMAZA</v>
      </c>
      <c r="G629" s="25" t="str">
        <f ca="1">IFERROR(__xludf.DUMMYFUNCTION("""COMPUTED_VALUE"""),"TANTARICA")</f>
        <v>TANTARICA</v>
      </c>
      <c r="H629" s="25" t="str">
        <f ca="1">IFERROR(__xludf.DUMMYFUNCTION("""COMPUTED_VALUE"""),"RURAL")</f>
        <v>RURAL</v>
      </c>
      <c r="I629" s="25" t="str">
        <f ca="1">IFERROR(__xludf.DUMMYFUNCTION("""COMPUTED_VALUE"""),"Prioridad 5")</f>
        <v>Prioridad 5</v>
      </c>
      <c r="J629" s="43" t="s">
        <v>264</v>
      </c>
    </row>
    <row r="630" spans="2:10">
      <c r="B630" s="25" t="str">
        <f ca="1">IFERROR(__xludf.DUMMYFUNCTION("""COMPUTED_VALUE"""),"MUNICIPALIDAD DISTRITAL")</f>
        <v>MUNICIPALIDAD DISTRITAL</v>
      </c>
      <c r="C630" s="25" t="str">
        <f ca="1">IFERROR(__xludf.DUMMYFUNCTION("""COMPUTED_VALUE"""),"MUNICIPALIDAD DISTRITAL DE YONAN")</f>
        <v>MUNICIPALIDAD DISTRITAL DE YONAN</v>
      </c>
      <c r="D630" s="25" t="str">
        <f ca="1">IFERROR(__xludf.DUMMYFUNCTION("""COMPUTED_VALUE"""),"CAJAMARCA")</f>
        <v>CAJAMARCA</v>
      </c>
      <c r="E630" s="25" t="str">
        <f ca="1">IFERROR(__xludf.DUMMYFUNCTION("""COMPUTED_VALUE"""),"CAJAMARCA")</f>
        <v>CAJAMARCA</v>
      </c>
      <c r="F630" s="25" t="str">
        <f ca="1">IFERROR(__xludf.DUMMYFUNCTION("""COMPUTED_VALUE"""),"CONTUMAZA")</f>
        <v>CONTUMAZA</v>
      </c>
      <c r="G630" s="25" t="str">
        <f ca="1">IFERROR(__xludf.DUMMYFUNCTION("""COMPUTED_VALUE"""),"YONAN")</f>
        <v>YONAN</v>
      </c>
      <c r="H630" s="25" t="str">
        <f ca="1">IFERROR(__xludf.DUMMYFUNCTION("""COMPUTED_VALUE"""),"URBANO")</f>
        <v>URBANO</v>
      </c>
      <c r="I630" s="25" t="str">
        <f ca="1">IFERROR(__xludf.DUMMYFUNCTION("""COMPUTED_VALUE"""),"Prioridad 3")</f>
        <v>Prioridad 3</v>
      </c>
      <c r="J630" s="43" t="s">
        <v>264</v>
      </c>
    </row>
    <row r="631" spans="2:10">
      <c r="B631" s="25" t="str">
        <f ca="1">IFERROR(__xludf.DUMMYFUNCTION("""COMPUTED_VALUE"""),"MUNICIPALIDAD DISTRITAL")</f>
        <v>MUNICIPALIDAD DISTRITAL</v>
      </c>
      <c r="C631" s="25" t="str">
        <f ca="1">IFERROR(__xludf.DUMMYFUNCTION("""COMPUTED_VALUE"""),"MUNICIPALIDAD DISTRITAL DE CUPISNIQUE")</f>
        <v>MUNICIPALIDAD DISTRITAL DE CUPISNIQUE</v>
      </c>
      <c r="D631" s="25" t="str">
        <f ca="1">IFERROR(__xludf.DUMMYFUNCTION("""COMPUTED_VALUE"""),"CAJAMARCA")</f>
        <v>CAJAMARCA</v>
      </c>
      <c r="E631" s="25" t="str">
        <f ca="1">IFERROR(__xludf.DUMMYFUNCTION("""COMPUTED_VALUE"""),"CAJAMARCA")</f>
        <v>CAJAMARCA</v>
      </c>
      <c r="F631" s="25" t="str">
        <f ca="1">IFERROR(__xludf.DUMMYFUNCTION("""COMPUTED_VALUE"""),"CONTUMAZA")</f>
        <v>CONTUMAZA</v>
      </c>
      <c r="G631" s="25" t="str">
        <f ca="1">IFERROR(__xludf.DUMMYFUNCTION("""COMPUTED_VALUE"""),"CUPISNIQUE")</f>
        <v>CUPISNIQUE</v>
      </c>
      <c r="H631" s="25" t="str">
        <f ca="1">IFERROR(__xludf.DUMMYFUNCTION("""COMPUTED_VALUE"""),"RURAL")</f>
        <v>RURAL</v>
      </c>
      <c r="I631" s="25" t="str">
        <f ca="1">IFERROR(__xludf.DUMMYFUNCTION("""COMPUTED_VALUE"""),"Prioridad 5")</f>
        <v>Prioridad 5</v>
      </c>
      <c r="J631" s="43" t="s">
        <v>264</v>
      </c>
    </row>
    <row r="632" spans="2:10">
      <c r="B632" s="25" t="str">
        <f ca="1">IFERROR(__xludf.DUMMYFUNCTION("""COMPUTED_VALUE"""),"MUNICIPALIDAD DISTRITAL")</f>
        <v>MUNICIPALIDAD DISTRITAL</v>
      </c>
      <c r="C632" s="25" t="str">
        <f ca="1">IFERROR(__xludf.DUMMYFUNCTION("""COMPUTED_VALUE"""),"MUNICIPALIDAD DISTRITAL DE GUZMANGO")</f>
        <v>MUNICIPALIDAD DISTRITAL DE GUZMANGO</v>
      </c>
      <c r="D632" s="25" t="str">
        <f ca="1">IFERROR(__xludf.DUMMYFUNCTION("""COMPUTED_VALUE"""),"CAJAMARCA")</f>
        <v>CAJAMARCA</v>
      </c>
      <c r="E632" s="25" t="str">
        <f ca="1">IFERROR(__xludf.DUMMYFUNCTION("""COMPUTED_VALUE"""),"CAJAMARCA")</f>
        <v>CAJAMARCA</v>
      </c>
      <c r="F632" s="25" t="str">
        <f ca="1">IFERROR(__xludf.DUMMYFUNCTION("""COMPUTED_VALUE"""),"CONTUMAZA")</f>
        <v>CONTUMAZA</v>
      </c>
      <c r="G632" s="25" t="str">
        <f ca="1">IFERROR(__xludf.DUMMYFUNCTION("""COMPUTED_VALUE"""),"GUZMANGO")</f>
        <v>GUZMANGO</v>
      </c>
      <c r="H632" s="25" t="str">
        <f ca="1">IFERROR(__xludf.DUMMYFUNCTION("""COMPUTED_VALUE"""),"RURAL")</f>
        <v>RURAL</v>
      </c>
      <c r="I632" s="25" t="str">
        <f ca="1">IFERROR(__xludf.DUMMYFUNCTION("""COMPUTED_VALUE"""),"Prioridad 5")</f>
        <v>Prioridad 5</v>
      </c>
      <c r="J632" s="43" t="s">
        <v>264</v>
      </c>
    </row>
    <row r="633" spans="2:10">
      <c r="B633" s="25" t="str">
        <f ca="1">IFERROR(__xludf.DUMMYFUNCTION("""COMPUTED_VALUE"""),"MUNICIPALIDAD DISTRITAL")</f>
        <v>MUNICIPALIDAD DISTRITAL</v>
      </c>
      <c r="C633" s="25" t="str">
        <f ca="1">IFERROR(__xludf.DUMMYFUNCTION("""COMPUTED_VALUE"""),"MUNICIPALIDAD DISTRITAL DE SAN BENITO")</f>
        <v>MUNICIPALIDAD DISTRITAL DE SAN BENITO</v>
      </c>
      <c r="D633" s="25" t="str">
        <f ca="1">IFERROR(__xludf.DUMMYFUNCTION("""COMPUTED_VALUE"""),"CAJAMARCA")</f>
        <v>CAJAMARCA</v>
      </c>
      <c r="E633" s="25" t="str">
        <f ca="1">IFERROR(__xludf.DUMMYFUNCTION("""COMPUTED_VALUE"""),"CAJAMARCA")</f>
        <v>CAJAMARCA</v>
      </c>
      <c r="F633" s="25" t="str">
        <f ca="1">IFERROR(__xludf.DUMMYFUNCTION("""COMPUTED_VALUE"""),"CONTUMAZA")</f>
        <v>CONTUMAZA</v>
      </c>
      <c r="G633" s="25" t="str">
        <f ca="1">IFERROR(__xludf.DUMMYFUNCTION("""COMPUTED_VALUE"""),"SAN BENITO")</f>
        <v>SAN BENITO</v>
      </c>
      <c r="H633" s="25" t="str">
        <f ca="1">IFERROR(__xludf.DUMMYFUNCTION("""COMPUTED_VALUE"""),"RURAL")</f>
        <v>RURAL</v>
      </c>
      <c r="I633" s="25" t="str">
        <f ca="1">IFERROR(__xludf.DUMMYFUNCTION("""COMPUTED_VALUE"""),"Prioridad 5")</f>
        <v>Prioridad 5</v>
      </c>
      <c r="J633" s="43" t="s">
        <v>264</v>
      </c>
    </row>
    <row r="634" spans="2:10">
      <c r="B634" s="25" t="str">
        <f ca="1">IFERROR(__xludf.DUMMYFUNCTION("""COMPUTED_VALUE"""),"MUNICIPALIDAD DISTRITAL")</f>
        <v>MUNICIPALIDAD DISTRITAL</v>
      </c>
      <c r="C634" s="25" t="str">
        <f ca="1">IFERROR(__xludf.DUMMYFUNCTION("""COMPUTED_VALUE"""),"MUNICIPALIDAD DISTRITAL DE SANTA CRUZ DE TOLED")</f>
        <v>MUNICIPALIDAD DISTRITAL DE SANTA CRUZ DE TOLED</v>
      </c>
      <c r="D634" s="25" t="str">
        <f ca="1">IFERROR(__xludf.DUMMYFUNCTION("""COMPUTED_VALUE"""),"CAJAMARCA")</f>
        <v>CAJAMARCA</v>
      </c>
      <c r="E634" s="25" t="str">
        <f ca="1">IFERROR(__xludf.DUMMYFUNCTION("""COMPUTED_VALUE"""),"CAJAMARCA")</f>
        <v>CAJAMARCA</v>
      </c>
      <c r="F634" s="25" t="str">
        <f ca="1">IFERROR(__xludf.DUMMYFUNCTION("""COMPUTED_VALUE"""),"CONTUMAZA")</f>
        <v>CONTUMAZA</v>
      </c>
      <c r="G634" s="25" t="str">
        <f ca="1">IFERROR(__xludf.DUMMYFUNCTION("""COMPUTED_VALUE"""),"SANTA CRUZ DE TOLED")</f>
        <v>SANTA CRUZ DE TOLED</v>
      </c>
      <c r="H634" s="25" t="str">
        <f ca="1">IFERROR(__xludf.DUMMYFUNCTION("""COMPUTED_VALUE"""),"RURAL")</f>
        <v>RURAL</v>
      </c>
      <c r="I634" s="25" t="str">
        <f ca="1">IFERROR(__xludf.DUMMYFUNCTION("""COMPUTED_VALUE"""),"Prioridad 5")</f>
        <v>Prioridad 5</v>
      </c>
      <c r="J634" s="43" t="s">
        <v>264</v>
      </c>
    </row>
    <row r="635" spans="2:10">
      <c r="B635" s="25" t="str">
        <f ca="1">IFERROR(__xludf.DUMMYFUNCTION("""COMPUTED_VALUE"""),"MUNICIPALIDAD PROVINCIAL")</f>
        <v>MUNICIPALIDAD PROVINCIAL</v>
      </c>
      <c r="C635" s="25" t="str">
        <f ca="1">IFERROR(__xludf.DUMMYFUNCTION("""COMPUTED_VALUE"""),"MUNICIPALIDAD PROVINCIAL DE CUTERVO")</f>
        <v>MUNICIPALIDAD PROVINCIAL DE CUTERVO</v>
      </c>
      <c r="D635" s="25" t="str">
        <f ca="1">IFERROR(__xludf.DUMMYFUNCTION("""COMPUTED_VALUE"""),"CAJAMARCA")</f>
        <v>CAJAMARCA</v>
      </c>
      <c r="E635" s="25" t="str">
        <f ca="1">IFERROR(__xludf.DUMMYFUNCTION("""COMPUTED_VALUE"""),"CAJAMARCA")</f>
        <v>CAJAMARCA</v>
      </c>
      <c r="F635" s="25" t="str">
        <f ca="1">IFERROR(__xludf.DUMMYFUNCTION("""COMPUTED_VALUE"""),"CUTERVO")</f>
        <v>CUTERVO</v>
      </c>
      <c r="G635" s="25" t="str">
        <f ca="1">IFERROR(__xludf.DUMMYFUNCTION("""COMPUTED_VALUE"""),"CUTERVO")</f>
        <v>CUTERVO</v>
      </c>
      <c r="H635" s="25" t="str">
        <f ca="1">IFERROR(__xludf.DUMMYFUNCTION("""COMPUTED_VALUE"""),"RURAL")</f>
        <v>RURAL</v>
      </c>
      <c r="I635" s="25" t="str">
        <f ca="1">IFERROR(__xludf.DUMMYFUNCTION("""COMPUTED_VALUE"""),"Prioridad 1")</f>
        <v>Prioridad 1</v>
      </c>
      <c r="J635" s="43" t="s">
        <v>264</v>
      </c>
    </row>
    <row r="636" spans="2:10">
      <c r="B636" s="25" t="str">
        <f ca="1">IFERROR(__xludf.DUMMYFUNCTION("""COMPUTED_VALUE"""),"MUNICIPALIDAD DISTRITAL")</f>
        <v>MUNICIPALIDAD DISTRITAL</v>
      </c>
      <c r="C636" s="25" t="str">
        <f ca="1">IFERROR(__xludf.DUMMYFUNCTION("""COMPUTED_VALUE"""),"MUNICIPALIDAD DISTRITAL DE CALLAYUC")</f>
        <v>MUNICIPALIDAD DISTRITAL DE CALLAYUC</v>
      </c>
      <c r="D636" s="25" t="str">
        <f ca="1">IFERROR(__xludf.DUMMYFUNCTION("""COMPUTED_VALUE"""),"CAJAMARCA")</f>
        <v>CAJAMARCA</v>
      </c>
      <c r="E636" s="25" t="str">
        <f ca="1">IFERROR(__xludf.DUMMYFUNCTION("""COMPUTED_VALUE"""),"CAJAMARCA")</f>
        <v>CAJAMARCA</v>
      </c>
      <c r="F636" s="25" t="str">
        <f ca="1">IFERROR(__xludf.DUMMYFUNCTION("""COMPUTED_VALUE"""),"CUTERVO")</f>
        <v>CUTERVO</v>
      </c>
      <c r="G636" s="25" t="str">
        <f ca="1">IFERROR(__xludf.DUMMYFUNCTION("""COMPUTED_VALUE"""),"CALLAYUC")</f>
        <v>CALLAYUC</v>
      </c>
      <c r="H636" s="25" t="str">
        <f ca="1">IFERROR(__xludf.DUMMYFUNCTION("""COMPUTED_VALUE"""),"RURAL")</f>
        <v>RURAL</v>
      </c>
      <c r="I636" s="25" t="str">
        <f ca="1">IFERROR(__xludf.DUMMYFUNCTION("""COMPUTED_VALUE"""),"Prioridad 5")</f>
        <v>Prioridad 5</v>
      </c>
      <c r="J636" s="43" t="s">
        <v>264</v>
      </c>
    </row>
    <row r="637" spans="2:10">
      <c r="B637" s="25" t="str">
        <f ca="1">IFERROR(__xludf.DUMMYFUNCTION("""COMPUTED_VALUE"""),"MUNICIPALIDAD DISTRITAL")</f>
        <v>MUNICIPALIDAD DISTRITAL</v>
      </c>
      <c r="C637" s="25" t="str">
        <f ca="1">IFERROR(__xludf.DUMMYFUNCTION("""COMPUTED_VALUE"""),"MUNICIPALIDAD DISTRITAL DE CHOROS")</f>
        <v>MUNICIPALIDAD DISTRITAL DE CHOROS</v>
      </c>
      <c r="D637" s="25" t="str">
        <f ca="1">IFERROR(__xludf.DUMMYFUNCTION("""COMPUTED_VALUE"""),"CAJAMARCA")</f>
        <v>CAJAMARCA</v>
      </c>
      <c r="E637" s="25" t="str">
        <f ca="1">IFERROR(__xludf.DUMMYFUNCTION("""COMPUTED_VALUE"""),"CAJAMARCA")</f>
        <v>CAJAMARCA</v>
      </c>
      <c r="F637" s="25" t="str">
        <f ca="1">IFERROR(__xludf.DUMMYFUNCTION("""COMPUTED_VALUE"""),"CUTERVO")</f>
        <v>CUTERVO</v>
      </c>
      <c r="G637" s="25" t="str">
        <f ca="1">IFERROR(__xludf.DUMMYFUNCTION("""COMPUTED_VALUE"""),"CHOROS")</f>
        <v>CHOROS</v>
      </c>
      <c r="H637" s="25" t="str">
        <f ca="1">IFERROR(__xludf.DUMMYFUNCTION("""COMPUTED_VALUE"""),"RURAL")</f>
        <v>RURAL</v>
      </c>
      <c r="I637" s="25" t="str">
        <f ca="1">IFERROR(__xludf.DUMMYFUNCTION("""COMPUTED_VALUE"""),"Prioridad 5")</f>
        <v>Prioridad 5</v>
      </c>
      <c r="J637" s="43" t="s">
        <v>264</v>
      </c>
    </row>
    <row r="638" spans="2:10">
      <c r="B638" s="25" t="str">
        <f ca="1">IFERROR(__xludf.DUMMYFUNCTION("""COMPUTED_VALUE"""),"MUNICIPALIDAD DISTRITAL")</f>
        <v>MUNICIPALIDAD DISTRITAL</v>
      </c>
      <c r="C638" s="25" t="str">
        <f ca="1">IFERROR(__xludf.DUMMYFUNCTION("""COMPUTED_VALUE"""),"MUNICIPALIDAD DISTRITAL DE CUJILLO")</f>
        <v>MUNICIPALIDAD DISTRITAL DE CUJILLO</v>
      </c>
      <c r="D638" s="25" t="str">
        <f ca="1">IFERROR(__xludf.DUMMYFUNCTION("""COMPUTED_VALUE"""),"CAJAMARCA")</f>
        <v>CAJAMARCA</v>
      </c>
      <c r="E638" s="25" t="str">
        <f ca="1">IFERROR(__xludf.DUMMYFUNCTION("""COMPUTED_VALUE"""),"CAJAMARCA")</f>
        <v>CAJAMARCA</v>
      </c>
      <c r="F638" s="25" t="str">
        <f ca="1">IFERROR(__xludf.DUMMYFUNCTION("""COMPUTED_VALUE"""),"CUTERVO")</f>
        <v>CUTERVO</v>
      </c>
      <c r="G638" s="25" t="str">
        <f ca="1">IFERROR(__xludf.DUMMYFUNCTION("""COMPUTED_VALUE"""),"CUJILLO")</f>
        <v>CUJILLO</v>
      </c>
      <c r="H638" s="25" t="str">
        <f ca="1">IFERROR(__xludf.DUMMYFUNCTION("""COMPUTED_VALUE"""),"RURAL")</f>
        <v>RURAL</v>
      </c>
      <c r="I638" s="25" t="str">
        <f ca="1">IFERROR(__xludf.DUMMYFUNCTION("""COMPUTED_VALUE"""),"Prioridad 5")</f>
        <v>Prioridad 5</v>
      </c>
      <c r="J638" s="43" t="s">
        <v>264</v>
      </c>
    </row>
    <row r="639" spans="2:10">
      <c r="B639" s="25" t="str">
        <f ca="1">IFERROR(__xludf.DUMMYFUNCTION("""COMPUTED_VALUE"""),"MUNICIPALIDAD DISTRITAL")</f>
        <v>MUNICIPALIDAD DISTRITAL</v>
      </c>
      <c r="C639" s="25" t="str">
        <f ca="1">IFERROR(__xludf.DUMMYFUNCTION("""COMPUTED_VALUE"""),"MUNICIPALIDAD DISTRITAL DE LA RAMADA")</f>
        <v>MUNICIPALIDAD DISTRITAL DE LA RAMADA</v>
      </c>
      <c r="D639" s="25" t="str">
        <f ca="1">IFERROR(__xludf.DUMMYFUNCTION("""COMPUTED_VALUE"""),"CAJAMARCA")</f>
        <v>CAJAMARCA</v>
      </c>
      <c r="E639" s="25" t="str">
        <f ca="1">IFERROR(__xludf.DUMMYFUNCTION("""COMPUTED_VALUE"""),"CAJAMARCA")</f>
        <v>CAJAMARCA</v>
      </c>
      <c r="F639" s="25" t="str">
        <f ca="1">IFERROR(__xludf.DUMMYFUNCTION("""COMPUTED_VALUE"""),"CUTERVO")</f>
        <v>CUTERVO</v>
      </c>
      <c r="G639" s="25" t="str">
        <f ca="1">IFERROR(__xludf.DUMMYFUNCTION("""COMPUTED_VALUE"""),"LA RAMADA")</f>
        <v>LA RAMADA</v>
      </c>
      <c r="H639" s="25" t="str">
        <f ca="1">IFERROR(__xludf.DUMMYFUNCTION("""COMPUTED_VALUE"""),"RURAL")</f>
        <v>RURAL</v>
      </c>
      <c r="I639" s="25" t="str">
        <f ca="1">IFERROR(__xludf.DUMMYFUNCTION("""COMPUTED_VALUE"""),"Prioridad 4")</f>
        <v>Prioridad 4</v>
      </c>
      <c r="J639" s="43" t="s">
        <v>264</v>
      </c>
    </row>
    <row r="640" spans="2:10">
      <c r="B640" s="25" t="str">
        <f ca="1">IFERROR(__xludf.DUMMYFUNCTION("""COMPUTED_VALUE"""),"MUNICIPALIDAD DISTRITAL")</f>
        <v>MUNICIPALIDAD DISTRITAL</v>
      </c>
      <c r="C640" s="25" t="str">
        <f ca="1">IFERROR(__xludf.DUMMYFUNCTION("""COMPUTED_VALUE"""),"MUNICIPALIDAD DISTRITAL DE PIMPINGOS")</f>
        <v>MUNICIPALIDAD DISTRITAL DE PIMPINGOS</v>
      </c>
      <c r="D640" s="25" t="str">
        <f ca="1">IFERROR(__xludf.DUMMYFUNCTION("""COMPUTED_VALUE"""),"CAJAMARCA")</f>
        <v>CAJAMARCA</v>
      </c>
      <c r="E640" s="25" t="str">
        <f ca="1">IFERROR(__xludf.DUMMYFUNCTION("""COMPUTED_VALUE"""),"CAJAMARCA")</f>
        <v>CAJAMARCA</v>
      </c>
      <c r="F640" s="25" t="str">
        <f ca="1">IFERROR(__xludf.DUMMYFUNCTION("""COMPUTED_VALUE"""),"CUTERVO")</f>
        <v>CUTERVO</v>
      </c>
      <c r="G640" s="25" t="str">
        <f ca="1">IFERROR(__xludf.DUMMYFUNCTION("""COMPUTED_VALUE"""),"PIMPINGOS")</f>
        <v>PIMPINGOS</v>
      </c>
      <c r="H640" s="25" t="str">
        <f ca="1">IFERROR(__xludf.DUMMYFUNCTION("""COMPUTED_VALUE"""),"RURAL")</f>
        <v>RURAL</v>
      </c>
      <c r="I640" s="25" t="str">
        <f ca="1">IFERROR(__xludf.DUMMYFUNCTION("""COMPUTED_VALUE"""),"Prioridad 4")</f>
        <v>Prioridad 4</v>
      </c>
      <c r="J640" s="43" t="s">
        <v>264</v>
      </c>
    </row>
    <row r="641" spans="2:10">
      <c r="B641" s="25" t="str">
        <f ca="1">IFERROR(__xludf.DUMMYFUNCTION("""COMPUTED_VALUE"""),"MUNICIPALIDAD DISTRITAL")</f>
        <v>MUNICIPALIDAD DISTRITAL</v>
      </c>
      <c r="C641" s="25" t="str">
        <f ca="1">IFERROR(__xludf.DUMMYFUNCTION("""COMPUTED_VALUE"""),"MUNICIPALIDAD DISTRITAL DE QUEROCOTILLO")</f>
        <v>MUNICIPALIDAD DISTRITAL DE QUEROCOTILLO</v>
      </c>
      <c r="D641" s="25" t="str">
        <f ca="1">IFERROR(__xludf.DUMMYFUNCTION("""COMPUTED_VALUE"""),"CAJAMARCA")</f>
        <v>CAJAMARCA</v>
      </c>
      <c r="E641" s="25" t="str">
        <f ca="1">IFERROR(__xludf.DUMMYFUNCTION("""COMPUTED_VALUE"""),"CAJAMARCA")</f>
        <v>CAJAMARCA</v>
      </c>
      <c r="F641" s="25" t="str">
        <f ca="1">IFERROR(__xludf.DUMMYFUNCTION("""COMPUTED_VALUE"""),"CUTERVO")</f>
        <v>CUTERVO</v>
      </c>
      <c r="G641" s="25" t="str">
        <f ca="1">IFERROR(__xludf.DUMMYFUNCTION("""COMPUTED_VALUE"""),"QUEROCOTILLO")</f>
        <v>QUEROCOTILLO</v>
      </c>
      <c r="H641" s="25" t="str">
        <f ca="1">IFERROR(__xludf.DUMMYFUNCTION("""COMPUTED_VALUE"""),"RURAL")</f>
        <v>RURAL</v>
      </c>
      <c r="I641" s="25" t="str">
        <f ca="1">IFERROR(__xludf.DUMMYFUNCTION("""COMPUTED_VALUE"""),"Prioridad 5")</f>
        <v>Prioridad 5</v>
      </c>
      <c r="J641" s="43" t="s">
        <v>264</v>
      </c>
    </row>
    <row r="642" spans="2:10">
      <c r="B642" s="25" t="str">
        <f ca="1">IFERROR(__xludf.DUMMYFUNCTION("""COMPUTED_VALUE"""),"MUNICIPALIDAD DISTRITAL")</f>
        <v>MUNICIPALIDAD DISTRITAL</v>
      </c>
      <c r="C642" s="25" t="str">
        <f ca="1">IFERROR(__xludf.DUMMYFUNCTION("""COMPUTED_VALUE"""),"MUNICIPALIDAD DISTRITAL DE SAN ANDRES DE CUTERVO")</f>
        <v>MUNICIPALIDAD DISTRITAL DE SAN ANDRES DE CUTERVO</v>
      </c>
      <c r="D642" s="25" t="str">
        <f ca="1">IFERROR(__xludf.DUMMYFUNCTION("""COMPUTED_VALUE"""),"CAJAMARCA")</f>
        <v>CAJAMARCA</v>
      </c>
      <c r="E642" s="25" t="str">
        <f ca="1">IFERROR(__xludf.DUMMYFUNCTION("""COMPUTED_VALUE"""),"CAJAMARCA")</f>
        <v>CAJAMARCA</v>
      </c>
      <c r="F642" s="25" t="str">
        <f ca="1">IFERROR(__xludf.DUMMYFUNCTION("""COMPUTED_VALUE"""),"CUTERVO")</f>
        <v>CUTERVO</v>
      </c>
      <c r="G642" s="25" t="str">
        <f ca="1">IFERROR(__xludf.DUMMYFUNCTION("""COMPUTED_VALUE"""),"SAN ANDRES DE CUTERVO")</f>
        <v>SAN ANDRES DE CUTERVO</v>
      </c>
      <c r="H642" s="25" t="str">
        <f ca="1">IFERROR(__xludf.DUMMYFUNCTION("""COMPUTED_VALUE"""),"RURAL")</f>
        <v>RURAL</v>
      </c>
      <c r="I642" s="25" t="str">
        <f ca="1">IFERROR(__xludf.DUMMYFUNCTION("""COMPUTED_VALUE"""),"Prioridad 5")</f>
        <v>Prioridad 5</v>
      </c>
      <c r="J642" s="43" t="s">
        <v>264</v>
      </c>
    </row>
    <row r="643" spans="2:10">
      <c r="B643" s="25" t="str">
        <f ca="1">IFERROR(__xludf.DUMMYFUNCTION("""COMPUTED_VALUE"""),"MUNICIPALIDAD DISTRITAL")</f>
        <v>MUNICIPALIDAD DISTRITAL</v>
      </c>
      <c r="C643" s="25" t="str">
        <f ca="1">IFERROR(__xludf.DUMMYFUNCTION("""COMPUTED_VALUE"""),"MUNICIPALIDAD DISTRITAL DE SAN JUAN DE CUTERVO")</f>
        <v>MUNICIPALIDAD DISTRITAL DE SAN JUAN DE CUTERVO</v>
      </c>
      <c r="D643" s="25" t="str">
        <f ca="1">IFERROR(__xludf.DUMMYFUNCTION("""COMPUTED_VALUE"""),"CAJAMARCA")</f>
        <v>CAJAMARCA</v>
      </c>
      <c r="E643" s="25" t="str">
        <f ca="1">IFERROR(__xludf.DUMMYFUNCTION("""COMPUTED_VALUE"""),"CAJAMARCA")</f>
        <v>CAJAMARCA</v>
      </c>
      <c r="F643" s="25" t="str">
        <f ca="1">IFERROR(__xludf.DUMMYFUNCTION("""COMPUTED_VALUE"""),"CUTERVO")</f>
        <v>CUTERVO</v>
      </c>
      <c r="G643" s="25" t="str">
        <f ca="1">IFERROR(__xludf.DUMMYFUNCTION("""COMPUTED_VALUE"""),"SAN JUAN DE CUTERVO")</f>
        <v>SAN JUAN DE CUTERVO</v>
      </c>
      <c r="H643" s="25" t="str">
        <f ca="1">IFERROR(__xludf.DUMMYFUNCTION("""COMPUTED_VALUE"""),"RURAL")</f>
        <v>RURAL</v>
      </c>
      <c r="I643" s="25" t="str">
        <f ca="1">IFERROR(__xludf.DUMMYFUNCTION("""COMPUTED_VALUE"""),"Prioridad 5")</f>
        <v>Prioridad 5</v>
      </c>
      <c r="J643" s="43" t="s">
        <v>264</v>
      </c>
    </row>
    <row r="644" spans="2:10">
      <c r="B644" s="25" t="str">
        <f ca="1">IFERROR(__xludf.DUMMYFUNCTION("""COMPUTED_VALUE"""),"MUNICIPALIDAD DISTRITAL")</f>
        <v>MUNICIPALIDAD DISTRITAL</v>
      </c>
      <c r="C644" s="25" t="str">
        <f ca="1">IFERROR(__xludf.DUMMYFUNCTION("""COMPUTED_VALUE"""),"MUNICIPALIDAD DISTRITAL DE SAN LUIS DE LUCMA")</f>
        <v>MUNICIPALIDAD DISTRITAL DE SAN LUIS DE LUCMA</v>
      </c>
      <c r="D644" s="25" t="str">
        <f ca="1">IFERROR(__xludf.DUMMYFUNCTION("""COMPUTED_VALUE"""),"CAJAMARCA")</f>
        <v>CAJAMARCA</v>
      </c>
      <c r="E644" s="25" t="str">
        <f ca="1">IFERROR(__xludf.DUMMYFUNCTION("""COMPUTED_VALUE"""),"CAJAMARCA")</f>
        <v>CAJAMARCA</v>
      </c>
      <c r="F644" s="25" t="str">
        <f ca="1">IFERROR(__xludf.DUMMYFUNCTION("""COMPUTED_VALUE"""),"CUTERVO")</f>
        <v>CUTERVO</v>
      </c>
      <c r="G644" s="25" t="str">
        <f ca="1">IFERROR(__xludf.DUMMYFUNCTION("""COMPUTED_VALUE"""),"SAN LUIS DE LUCMA")</f>
        <v>SAN LUIS DE LUCMA</v>
      </c>
      <c r="H644" s="25" t="str">
        <f ca="1">IFERROR(__xludf.DUMMYFUNCTION("""COMPUTED_VALUE"""),"RURAL")</f>
        <v>RURAL</v>
      </c>
      <c r="I644" s="25" t="str">
        <f ca="1">IFERROR(__xludf.DUMMYFUNCTION("""COMPUTED_VALUE"""),"Prioridad 5")</f>
        <v>Prioridad 5</v>
      </c>
      <c r="J644" s="43" t="s">
        <v>264</v>
      </c>
    </row>
    <row r="645" spans="2:10">
      <c r="B645" s="25" t="str">
        <f ca="1">IFERROR(__xludf.DUMMYFUNCTION("""COMPUTED_VALUE"""),"MUNICIPALIDAD DISTRITAL")</f>
        <v>MUNICIPALIDAD DISTRITAL</v>
      </c>
      <c r="C645" s="25" t="str">
        <f ca="1">IFERROR(__xludf.DUMMYFUNCTION("""COMPUTED_VALUE"""),"MUNICIPALIDAD DISTRITAL DE SANTA CRUZ EN CUTERVO")</f>
        <v>MUNICIPALIDAD DISTRITAL DE SANTA CRUZ EN CUTERVO</v>
      </c>
      <c r="D645" s="25" t="str">
        <f ca="1">IFERROR(__xludf.DUMMYFUNCTION("""COMPUTED_VALUE"""),"CAJAMARCA")</f>
        <v>CAJAMARCA</v>
      </c>
      <c r="E645" s="25" t="str">
        <f ca="1">IFERROR(__xludf.DUMMYFUNCTION("""COMPUTED_VALUE"""),"CAJAMARCA")</f>
        <v>CAJAMARCA</v>
      </c>
      <c r="F645" s="25" t="str">
        <f ca="1">IFERROR(__xludf.DUMMYFUNCTION("""COMPUTED_VALUE"""),"CUTERVO")</f>
        <v>CUTERVO</v>
      </c>
      <c r="G645" s="25" t="str">
        <f ca="1">IFERROR(__xludf.DUMMYFUNCTION("""COMPUTED_VALUE"""),"SANTA CRUZ")</f>
        <v>SANTA CRUZ</v>
      </c>
      <c r="H645" s="25" t="str">
        <f ca="1">IFERROR(__xludf.DUMMYFUNCTION("""COMPUTED_VALUE"""),"RURAL")</f>
        <v>RURAL</v>
      </c>
      <c r="I645" s="25" t="str">
        <f ca="1">IFERROR(__xludf.DUMMYFUNCTION("""COMPUTED_VALUE"""),"Prioridad 5")</f>
        <v>Prioridad 5</v>
      </c>
      <c r="J645" s="43" t="s">
        <v>264</v>
      </c>
    </row>
    <row r="646" spans="2:10">
      <c r="B646" s="25" t="str">
        <f ca="1">IFERROR(__xludf.DUMMYFUNCTION("""COMPUTED_VALUE"""),"MUNICIPALIDAD DISTRITAL")</f>
        <v>MUNICIPALIDAD DISTRITAL</v>
      </c>
      <c r="C646" s="25" t="str">
        <f ca="1">IFERROR(__xludf.DUMMYFUNCTION("""COMPUTED_VALUE"""),"MUNICIPALIDAD DISTRITAL DE SANTO DOMINGO DE LA CAPILLA")</f>
        <v>MUNICIPALIDAD DISTRITAL DE SANTO DOMINGO DE LA CAPILLA</v>
      </c>
      <c r="D646" s="25" t="str">
        <f ca="1">IFERROR(__xludf.DUMMYFUNCTION("""COMPUTED_VALUE"""),"CAJAMARCA")</f>
        <v>CAJAMARCA</v>
      </c>
      <c r="E646" s="25" t="str">
        <f ca="1">IFERROR(__xludf.DUMMYFUNCTION("""COMPUTED_VALUE"""),"CAJAMARCA")</f>
        <v>CAJAMARCA</v>
      </c>
      <c r="F646" s="25" t="str">
        <f ca="1">IFERROR(__xludf.DUMMYFUNCTION("""COMPUTED_VALUE"""),"CUTERVO")</f>
        <v>CUTERVO</v>
      </c>
      <c r="G646" s="25" t="str">
        <f ca="1">IFERROR(__xludf.DUMMYFUNCTION("""COMPUTED_VALUE"""),"SANTO DOMINGO DE LA CAPILLA")</f>
        <v>SANTO DOMINGO DE LA CAPILLA</v>
      </c>
      <c r="H646" s="25" t="str">
        <f ca="1">IFERROR(__xludf.DUMMYFUNCTION("""COMPUTED_VALUE"""),"RURAL")</f>
        <v>RURAL</v>
      </c>
      <c r="I646" s="25" t="str">
        <f ca="1">IFERROR(__xludf.DUMMYFUNCTION("""COMPUTED_VALUE"""),"Prioridad 5")</f>
        <v>Prioridad 5</v>
      </c>
      <c r="J646" s="43" t="s">
        <v>264</v>
      </c>
    </row>
    <row r="647" spans="2:10">
      <c r="B647" s="25" t="str">
        <f ca="1">IFERROR(__xludf.DUMMYFUNCTION("""COMPUTED_VALUE"""),"MUNICIPALIDAD DISTRITAL")</f>
        <v>MUNICIPALIDAD DISTRITAL</v>
      </c>
      <c r="C647" s="25" t="str">
        <f ca="1">IFERROR(__xludf.DUMMYFUNCTION("""COMPUTED_VALUE"""),"MUNICIPALIDAD DISTRITAL DE SANTO TOMAS EN CUTERVO")</f>
        <v>MUNICIPALIDAD DISTRITAL DE SANTO TOMAS EN CUTERVO</v>
      </c>
      <c r="D647" s="25" t="str">
        <f ca="1">IFERROR(__xludf.DUMMYFUNCTION("""COMPUTED_VALUE"""),"CAJAMARCA")</f>
        <v>CAJAMARCA</v>
      </c>
      <c r="E647" s="25" t="str">
        <f ca="1">IFERROR(__xludf.DUMMYFUNCTION("""COMPUTED_VALUE"""),"CAJAMARCA")</f>
        <v>CAJAMARCA</v>
      </c>
      <c r="F647" s="25" t="str">
        <f ca="1">IFERROR(__xludf.DUMMYFUNCTION("""COMPUTED_VALUE"""),"CUTERVO")</f>
        <v>CUTERVO</v>
      </c>
      <c r="G647" s="25" t="str">
        <f ca="1">IFERROR(__xludf.DUMMYFUNCTION("""COMPUTED_VALUE"""),"SANTO TOMAS")</f>
        <v>SANTO TOMAS</v>
      </c>
      <c r="H647" s="25" t="str">
        <f ca="1">IFERROR(__xludf.DUMMYFUNCTION("""COMPUTED_VALUE"""),"RURAL")</f>
        <v>RURAL</v>
      </c>
      <c r="I647" s="25" t="str">
        <f ca="1">IFERROR(__xludf.DUMMYFUNCTION("""COMPUTED_VALUE"""),"Prioridad 5")</f>
        <v>Prioridad 5</v>
      </c>
      <c r="J647" s="43" t="s">
        <v>264</v>
      </c>
    </row>
    <row r="648" spans="2:10">
      <c r="B648" s="25" t="str">
        <f ca="1">IFERROR(__xludf.DUMMYFUNCTION("""COMPUTED_VALUE"""),"MUNICIPALIDAD DISTRITAL")</f>
        <v>MUNICIPALIDAD DISTRITAL</v>
      </c>
      <c r="C648" s="25" t="str">
        <f ca="1">IFERROR(__xludf.DUMMYFUNCTION("""COMPUTED_VALUE"""),"MUNICIPALIDAD DISTRITAL DE SOCOTA")</f>
        <v>MUNICIPALIDAD DISTRITAL DE SOCOTA</v>
      </c>
      <c r="D648" s="25" t="str">
        <f ca="1">IFERROR(__xludf.DUMMYFUNCTION("""COMPUTED_VALUE"""),"CAJAMARCA")</f>
        <v>CAJAMARCA</v>
      </c>
      <c r="E648" s="25" t="str">
        <f ca="1">IFERROR(__xludf.DUMMYFUNCTION("""COMPUTED_VALUE"""),"CAJAMARCA")</f>
        <v>CAJAMARCA</v>
      </c>
      <c r="F648" s="25" t="str">
        <f ca="1">IFERROR(__xludf.DUMMYFUNCTION("""COMPUTED_VALUE"""),"CUTERVO")</f>
        <v>CUTERVO</v>
      </c>
      <c r="G648" s="25" t="str">
        <f ca="1">IFERROR(__xludf.DUMMYFUNCTION("""COMPUTED_VALUE"""),"SOCOTA")</f>
        <v>SOCOTA</v>
      </c>
      <c r="H648" s="25" t="str">
        <f ca="1">IFERROR(__xludf.DUMMYFUNCTION("""COMPUTED_VALUE"""),"RURAL")</f>
        <v>RURAL</v>
      </c>
      <c r="I648" s="25" t="str">
        <f ca="1">IFERROR(__xludf.DUMMYFUNCTION("""COMPUTED_VALUE"""),"Prioridad 3")</f>
        <v>Prioridad 3</v>
      </c>
      <c r="J648" s="43" t="s">
        <v>264</v>
      </c>
    </row>
    <row r="649" spans="2:10">
      <c r="B649" s="25" t="str">
        <f ca="1">IFERROR(__xludf.DUMMYFUNCTION("""COMPUTED_VALUE"""),"MUNICIPALIDAD DISTRITAL")</f>
        <v>MUNICIPALIDAD DISTRITAL</v>
      </c>
      <c r="C649" s="25" t="str">
        <f ca="1">IFERROR(__xludf.DUMMYFUNCTION("""COMPUTED_VALUE"""),"MUNICIPALIDAD DISTRITAL DE TORIBIO CASANOVA")</f>
        <v>MUNICIPALIDAD DISTRITAL DE TORIBIO CASANOVA</v>
      </c>
      <c r="D649" s="25" t="str">
        <f ca="1">IFERROR(__xludf.DUMMYFUNCTION("""COMPUTED_VALUE"""),"CAJAMARCA")</f>
        <v>CAJAMARCA</v>
      </c>
      <c r="E649" s="25" t="str">
        <f ca="1">IFERROR(__xludf.DUMMYFUNCTION("""COMPUTED_VALUE"""),"CAJAMARCA")</f>
        <v>CAJAMARCA</v>
      </c>
      <c r="F649" s="25" t="str">
        <f ca="1">IFERROR(__xludf.DUMMYFUNCTION("""COMPUTED_VALUE"""),"CUTERVO")</f>
        <v>CUTERVO</v>
      </c>
      <c r="G649" s="25" t="str">
        <f ca="1">IFERROR(__xludf.DUMMYFUNCTION("""COMPUTED_VALUE"""),"TORIBIO CASANOVA")</f>
        <v>TORIBIO CASANOVA</v>
      </c>
      <c r="H649" s="25" t="str">
        <f ca="1">IFERROR(__xludf.DUMMYFUNCTION("""COMPUTED_VALUE"""),"RURAL")</f>
        <v>RURAL</v>
      </c>
      <c r="I649" s="25" t="str">
        <f ca="1">IFERROR(__xludf.DUMMYFUNCTION("""COMPUTED_VALUE"""),"Prioridad 5")</f>
        <v>Prioridad 5</v>
      </c>
      <c r="J649" s="43" t="s">
        <v>264</v>
      </c>
    </row>
    <row r="650" spans="2:10">
      <c r="B650" s="25" t="str">
        <f ca="1">IFERROR(__xludf.DUMMYFUNCTION("""COMPUTED_VALUE"""),"MUNICIPALIDAD PROVINCIAL")</f>
        <v>MUNICIPALIDAD PROVINCIAL</v>
      </c>
      <c r="C650" s="25" t="str">
        <f ca="1">IFERROR(__xludf.DUMMYFUNCTION("""COMPUTED_VALUE"""),"MUNICIPALIDAD PROVINCIAL DE HUALGAYOC")</f>
        <v>MUNICIPALIDAD PROVINCIAL DE HUALGAYOC</v>
      </c>
      <c r="D650" s="25" t="str">
        <f ca="1">IFERROR(__xludf.DUMMYFUNCTION("""COMPUTED_VALUE"""),"CAJAMARCA")</f>
        <v>CAJAMARCA</v>
      </c>
      <c r="E650" s="25" t="str">
        <f ca="1">IFERROR(__xludf.DUMMYFUNCTION("""COMPUTED_VALUE"""),"CAJAMARCA")</f>
        <v>CAJAMARCA</v>
      </c>
      <c r="F650" s="25" t="str">
        <f ca="1">IFERROR(__xludf.DUMMYFUNCTION("""COMPUTED_VALUE"""),"HUALGAYOC")</f>
        <v>HUALGAYOC</v>
      </c>
      <c r="G650" s="25" t="str">
        <f ca="1">IFERROR(__xludf.DUMMYFUNCTION("""COMPUTED_VALUE"""),"BAMBAMARCA")</f>
        <v>BAMBAMARCA</v>
      </c>
      <c r="H650" s="25" t="str">
        <f ca="1">IFERROR(__xludf.DUMMYFUNCTION("""COMPUTED_VALUE"""),"RURAL")</f>
        <v>RURAL</v>
      </c>
      <c r="I650" s="25" t="str">
        <f ca="1">IFERROR(__xludf.DUMMYFUNCTION("""COMPUTED_VALUE"""),"Prioridad 1")</f>
        <v>Prioridad 1</v>
      </c>
      <c r="J650" s="43" t="s">
        <v>264</v>
      </c>
    </row>
    <row r="651" spans="2:10">
      <c r="B651" s="25" t="str">
        <f ca="1">IFERROR(__xludf.DUMMYFUNCTION("""COMPUTED_VALUE"""),"MUNICIPALIDAD DISTRITAL")</f>
        <v>MUNICIPALIDAD DISTRITAL</v>
      </c>
      <c r="C651" s="25" t="str">
        <f ca="1">IFERROR(__xludf.DUMMYFUNCTION("""COMPUTED_VALUE"""),"MUNICIPALIDAD DISTRITAL DE CHUGUR")</f>
        <v>MUNICIPALIDAD DISTRITAL DE CHUGUR</v>
      </c>
      <c r="D651" s="25" t="str">
        <f ca="1">IFERROR(__xludf.DUMMYFUNCTION("""COMPUTED_VALUE"""),"CAJAMARCA")</f>
        <v>CAJAMARCA</v>
      </c>
      <c r="E651" s="25" t="str">
        <f ca="1">IFERROR(__xludf.DUMMYFUNCTION("""COMPUTED_VALUE"""),"CAJAMARCA")</f>
        <v>CAJAMARCA</v>
      </c>
      <c r="F651" s="25" t="str">
        <f ca="1">IFERROR(__xludf.DUMMYFUNCTION("""COMPUTED_VALUE"""),"HUALGAYOC")</f>
        <v>HUALGAYOC</v>
      </c>
      <c r="G651" s="25" t="str">
        <f ca="1">IFERROR(__xludf.DUMMYFUNCTION("""COMPUTED_VALUE"""),"CHUGUR")</f>
        <v>CHUGUR</v>
      </c>
      <c r="H651" s="25" t="str">
        <f ca="1">IFERROR(__xludf.DUMMYFUNCTION("""COMPUTED_VALUE"""),"RURAL")</f>
        <v>RURAL</v>
      </c>
      <c r="I651" s="25" t="str">
        <f ca="1">IFERROR(__xludf.DUMMYFUNCTION("""COMPUTED_VALUE"""),"Prioridad 5")</f>
        <v>Prioridad 5</v>
      </c>
      <c r="J651" s="43" t="s">
        <v>264</v>
      </c>
    </row>
    <row r="652" spans="2:10">
      <c r="B652" s="25" t="str">
        <f ca="1">IFERROR(__xludf.DUMMYFUNCTION("""COMPUTED_VALUE"""),"MUNICIPALIDAD DISTRITAL")</f>
        <v>MUNICIPALIDAD DISTRITAL</v>
      </c>
      <c r="C652" s="25" t="str">
        <f ca="1">IFERROR(__xludf.DUMMYFUNCTION("""COMPUTED_VALUE"""),"MUNICIPALIDAD DISTRITAL DE HUALGAYOC")</f>
        <v>MUNICIPALIDAD DISTRITAL DE HUALGAYOC</v>
      </c>
      <c r="D652" s="25" t="str">
        <f ca="1">IFERROR(__xludf.DUMMYFUNCTION("""COMPUTED_VALUE"""),"CAJAMARCA")</f>
        <v>CAJAMARCA</v>
      </c>
      <c r="E652" s="25" t="str">
        <f ca="1">IFERROR(__xludf.DUMMYFUNCTION("""COMPUTED_VALUE"""),"CAJAMARCA")</f>
        <v>CAJAMARCA</v>
      </c>
      <c r="F652" s="25" t="str">
        <f ca="1">IFERROR(__xludf.DUMMYFUNCTION("""COMPUTED_VALUE"""),"HUALGAYOC")</f>
        <v>HUALGAYOC</v>
      </c>
      <c r="G652" s="25" t="str">
        <f ca="1">IFERROR(__xludf.DUMMYFUNCTION("""COMPUTED_VALUE"""),"HUALGAYOC")</f>
        <v>HUALGAYOC</v>
      </c>
      <c r="H652" s="25" t="str">
        <f ca="1">IFERROR(__xludf.DUMMYFUNCTION("""COMPUTED_VALUE"""),"RURAL")</f>
        <v>RURAL</v>
      </c>
      <c r="I652" s="25" t="str">
        <f ca="1">IFERROR(__xludf.DUMMYFUNCTION("""COMPUTED_VALUE"""),"Prioridad 5")</f>
        <v>Prioridad 5</v>
      </c>
      <c r="J652" s="43" t="s">
        <v>264</v>
      </c>
    </row>
    <row r="653" spans="2:10">
      <c r="B653" s="25" t="str">
        <f ca="1">IFERROR(__xludf.DUMMYFUNCTION("""COMPUTED_VALUE"""),"MUNICIPALIDAD PROVINCIAL")</f>
        <v>MUNICIPALIDAD PROVINCIAL</v>
      </c>
      <c r="C653" s="25" t="str">
        <f ca="1">IFERROR(__xludf.DUMMYFUNCTION("""COMPUTED_VALUE"""),"MUNICIPALIDAD PROVINCIAL DE SAN IGNACIO")</f>
        <v>MUNICIPALIDAD PROVINCIAL DE SAN IGNACIO</v>
      </c>
      <c r="D653" s="25" t="str">
        <f ca="1">IFERROR(__xludf.DUMMYFUNCTION("""COMPUTED_VALUE"""),"LAMBAYEQUE")</f>
        <v>LAMBAYEQUE</v>
      </c>
      <c r="E653" s="25" t="str">
        <f ca="1">IFERROR(__xludf.DUMMYFUNCTION("""COMPUTED_VALUE"""),"CAJAMARCA")</f>
        <v>CAJAMARCA</v>
      </c>
      <c r="F653" s="25" t="str">
        <f ca="1">IFERROR(__xludf.DUMMYFUNCTION("""COMPUTED_VALUE"""),"SAN IGNACIO")</f>
        <v>SAN IGNACIO</v>
      </c>
      <c r="G653" s="25" t="str">
        <f ca="1">IFERROR(__xludf.DUMMYFUNCTION("""COMPUTED_VALUE"""),"SAN IGNACIO")</f>
        <v>SAN IGNACIO</v>
      </c>
      <c r="H653" s="25" t="str">
        <f ca="1">IFERROR(__xludf.DUMMYFUNCTION("""COMPUTED_VALUE"""),"RURAL")</f>
        <v>RURAL</v>
      </c>
      <c r="I653" s="25" t="str">
        <f ca="1">IFERROR(__xludf.DUMMYFUNCTION("""COMPUTED_VALUE"""),"Prioridad 1")</f>
        <v>Prioridad 1</v>
      </c>
      <c r="J653" s="43" t="s">
        <v>264</v>
      </c>
    </row>
    <row r="654" spans="2:10">
      <c r="B654" s="25" t="str">
        <f ca="1">IFERROR(__xludf.DUMMYFUNCTION("""COMPUTED_VALUE"""),"MUNICIPALIDAD DISTRITAL")</f>
        <v>MUNICIPALIDAD DISTRITAL</v>
      </c>
      <c r="C654" s="25" t="str">
        <f ca="1">IFERROR(__xludf.DUMMYFUNCTION("""COMPUTED_VALUE"""),"MUNICIPALIDAD DISTRITAL DE CHIRINOS")</f>
        <v>MUNICIPALIDAD DISTRITAL DE CHIRINOS</v>
      </c>
      <c r="D654" s="25" t="str">
        <f ca="1">IFERROR(__xludf.DUMMYFUNCTION("""COMPUTED_VALUE"""),"LAMBAYEQUE")</f>
        <v>LAMBAYEQUE</v>
      </c>
      <c r="E654" s="25" t="str">
        <f ca="1">IFERROR(__xludf.DUMMYFUNCTION("""COMPUTED_VALUE"""),"CAJAMARCA")</f>
        <v>CAJAMARCA</v>
      </c>
      <c r="F654" s="25" t="str">
        <f ca="1">IFERROR(__xludf.DUMMYFUNCTION("""COMPUTED_VALUE"""),"SAN IGNACIO")</f>
        <v>SAN IGNACIO</v>
      </c>
      <c r="G654" s="25" t="str">
        <f ca="1">IFERROR(__xludf.DUMMYFUNCTION("""COMPUTED_VALUE"""),"CHIRINOS")</f>
        <v>CHIRINOS</v>
      </c>
      <c r="H654" s="25" t="str">
        <f ca="1">IFERROR(__xludf.DUMMYFUNCTION("""COMPUTED_VALUE"""),"RURAL")</f>
        <v>RURAL</v>
      </c>
      <c r="I654" s="25" t="str">
        <f ca="1">IFERROR(__xludf.DUMMYFUNCTION("""COMPUTED_VALUE"""),"Prioridad 3")</f>
        <v>Prioridad 3</v>
      </c>
      <c r="J654" s="43" t="s">
        <v>264</v>
      </c>
    </row>
    <row r="655" spans="2:10">
      <c r="B655" s="25" t="str">
        <f ca="1">IFERROR(__xludf.DUMMYFUNCTION("""COMPUTED_VALUE"""),"MUNICIPALIDAD DISTRITAL")</f>
        <v>MUNICIPALIDAD DISTRITAL</v>
      </c>
      <c r="C655" s="25" t="str">
        <f ca="1">IFERROR(__xludf.DUMMYFUNCTION("""COMPUTED_VALUE"""),"MUNICIPALIDAD DISTRITAL DE HUARANGO")</f>
        <v>MUNICIPALIDAD DISTRITAL DE HUARANGO</v>
      </c>
      <c r="D655" s="25" t="str">
        <f ca="1">IFERROR(__xludf.DUMMYFUNCTION("""COMPUTED_VALUE"""),"LAMBAYEQUE")</f>
        <v>LAMBAYEQUE</v>
      </c>
      <c r="E655" s="25" t="str">
        <f ca="1">IFERROR(__xludf.DUMMYFUNCTION("""COMPUTED_VALUE"""),"CAJAMARCA")</f>
        <v>CAJAMARCA</v>
      </c>
      <c r="F655" s="25" t="str">
        <f ca="1">IFERROR(__xludf.DUMMYFUNCTION("""COMPUTED_VALUE"""),"SAN IGNACIO")</f>
        <v>SAN IGNACIO</v>
      </c>
      <c r="G655" s="25" t="str">
        <f ca="1">IFERROR(__xludf.DUMMYFUNCTION("""COMPUTED_VALUE"""),"HUARANGO")</f>
        <v>HUARANGO</v>
      </c>
      <c r="H655" s="25" t="str">
        <f ca="1">IFERROR(__xludf.DUMMYFUNCTION("""COMPUTED_VALUE"""),"RURAL")</f>
        <v>RURAL</v>
      </c>
      <c r="I655" s="25" t="str">
        <f ca="1">IFERROR(__xludf.DUMMYFUNCTION("""COMPUTED_VALUE"""),"Prioridad 5")</f>
        <v>Prioridad 5</v>
      </c>
      <c r="J655" s="43" t="s">
        <v>264</v>
      </c>
    </row>
    <row r="656" spans="2:10">
      <c r="B656" s="25" t="str">
        <f ca="1">IFERROR(__xludf.DUMMYFUNCTION("""COMPUTED_VALUE"""),"MUNICIPALIDAD DISTRITAL")</f>
        <v>MUNICIPALIDAD DISTRITAL</v>
      </c>
      <c r="C656" s="25" t="str">
        <f ca="1">IFERROR(__xludf.DUMMYFUNCTION("""COMPUTED_VALUE"""),"MUNICIPALIDAD DISTRITAL DE LA COIPA")</f>
        <v>MUNICIPALIDAD DISTRITAL DE LA COIPA</v>
      </c>
      <c r="D656" s="25" t="str">
        <f ca="1">IFERROR(__xludf.DUMMYFUNCTION("""COMPUTED_VALUE"""),"LAMBAYEQUE")</f>
        <v>LAMBAYEQUE</v>
      </c>
      <c r="E656" s="25" t="str">
        <f ca="1">IFERROR(__xludf.DUMMYFUNCTION("""COMPUTED_VALUE"""),"CAJAMARCA")</f>
        <v>CAJAMARCA</v>
      </c>
      <c r="F656" s="25" t="str">
        <f ca="1">IFERROR(__xludf.DUMMYFUNCTION("""COMPUTED_VALUE"""),"SAN IGNACIO")</f>
        <v>SAN IGNACIO</v>
      </c>
      <c r="G656" s="25" t="str">
        <f ca="1">IFERROR(__xludf.DUMMYFUNCTION("""COMPUTED_VALUE"""),"LA COIPA")</f>
        <v>LA COIPA</v>
      </c>
      <c r="H656" s="25" t="str">
        <f ca="1">IFERROR(__xludf.DUMMYFUNCTION("""COMPUTED_VALUE"""),"RURAL")</f>
        <v>RURAL</v>
      </c>
      <c r="I656" s="25" t="str">
        <f ca="1">IFERROR(__xludf.DUMMYFUNCTION("""COMPUTED_VALUE"""),"Prioridad 5")</f>
        <v>Prioridad 5</v>
      </c>
      <c r="J656" s="43" t="s">
        <v>264</v>
      </c>
    </row>
    <row r="657" spans="2:10">
      <c r="B657" s="25" t="str">
        <f ca="1">IFERROR(__xludf.DUMMYFUNCTION("""COMPUTED_VALUE"""),"MUNICIPALIDAD DISTRITAL")</f>
        <v>MUNICIPALIDAD DISTRITAL</v>
      </c>
      <c r="C657" s="25" t="str">
        <f ca="1">IFERROR(__xludf.DUMMYFUNCTION("""COMPUTED_VALUE"""),"MUNICIPALIDAD DISTRITAL DE NAMBALLE")</f>
        <v>MUNICIPALIDAD DISTRITAL DE NAMBALLE</v>
      </c>
      <c r="D657" s="25" t="str">
        <f ca="1">IFERROR(__xludf.DUMMYFUNCTION("""COMPUTED_VALUE"""),"LAMBAYEQUE")</f>
        <v>LAMBAYEQUE</v>
      </c>
      <c r="E657" s="25" t="str">
        <f ca="1">IFERROR(__xludf.DUMMYFUNCTION("""COMPUTED_VALUE"""),"CAJAMARCA")</f>
        <v>CAJAMARCA</v>
      </c>
      <c r="F657" s="25" t="str">
        <f ca="1">IFERROR(__xludf.DUMMYFUNCTION("""COMPUTED_VALUE"""),"SAN IGNACIO")</f>
        <v>SAN IGNACIO</v>
      </c>
      <c r="G657" s="25" t="str">
        <f ca="1">IFERROR(__xludf.DUMMYFUNCTION("""COMPUTED_VALUE"""),"NAMBALLE")</f>
        <v>NAMBALLE</v>
      </c>
      <c r="H657" s="25" t="str">
        <f ca="1">IFERROR(__xludf.DUMMYFUNCTION("""COMPUTED_VALUE"""),"RURAL")</f>
        <v>RURAL</v>
      </c>
      <c r="I657" s="25" t="str">
        <f ca="1">IFERROR(__xludf.DUMMYFUNCTION("""COMPUTED_VALUE"""),"Prioridad 5")</f>
        <v>Prioridad 5</v>
      </c>
      <c r="J657" s="43" t="s">
        <v>264</v>
      </c>
    </row>
    <row r="658" spans="2:10">
      <c r="B658" s="25" t="str">
        <f ca="1">IFERROR(__xludf.DUMMYFUNCTION("""COMPUTED_VALUE"""),"MUNICIPALIDAD DISTRITAL")</f>
        <v>MUNICIPALIDAD DISTRITAL</v>
      </c>
      <c r="C658" s="25" t="str">
        <f ca="1">IFERROR(__xludf.DUMMYFUNCTION("""COMPUTED_VALUE"""),"MUNICIPALIDAD DISTRITAL DE SAN JOSE DE LOURDES")</f>
        <v>MUNICIPALIDAD DISTRITAL DE SAN JOSE DE LOURDES</v>
      </c>
      <c r="D658" s="25" t="str">
        <f ca="1">IFERROR(__xludf.DUMMYFUNCTION("""COMPUTED_VALUE"""),"LAMBAYEQUE")</f>
        <v>LAMBAYEQUE</v>
      </c>
      <c r="E658" s="25" t="str">
        <f ca="1">IFERROR(__xludf.DUMMYFUNCTION("""COMPUTED_VALUE"""),"CAJAMARCA")</f>
        <v>CAJAMARCA</v>
      </c>
      <c r="F658" s="25" t="str">
        <f ca="1">IFERROR(__xludf.DUMMYFUNCTION("""COMPUTED_VALUE"""),"SAN IGNACIO")</f>
        <v>SAN IGNACIO</v>
      </c>
      <c r="G658" s="25" t="str">
        <f ca="1">IFERROR(__xludf.DUMMYFUNCTION("""COMPUTED_VALUE"""),"SAN JOSE DE LOURDES")</f>
        <v>SAN JOSE DE LOURDES</v>
      </c>
      <c r="H658" s="25" t="str">
        <f ca="1">IFERROR(__xludf.DUMMYFUNCTION("""COMPUTED_VALUE"""),"RURAL")</f>
        <v>RURAL</v>
      </c>
      <c r="I658" s="25" t="str">
        <f ca="1">IFERROR(__xludf.DUMMYFUNCTION("""COMPUTED_VALUE"""),"Prioridad 5")</f>
        <v>Prioridad 5</v>
      </c>
      <c r="J658" s="43" t="s">
        <v>264</v>
      </c>
    </row>
    <row r="659" spans="2:10">
      <c r="B659" s="25" t="str">
        <f ca="1">IFERROR(__xludf.DUMMYFUNCTION("""COMPUTED_VALUE"""),"MUNICIPALIDAD DISTRITAL")</f>
        <v>MUNICIPALIDAD DISTRITAL</v>
      </c>
      <c r="C659" s="25" t="str">
        <f ca="1">IFERROR(__xludf.DUMMYFUNCTION("""COMPUTED_VALUE"""),"MUNICIPALIDAD DISTRITAL DE TABACONAS")</f>
        <v>MUNICIPALIDAD DISTRITAL DE TABACONAS</v>
      </c>
      <c r="D659" s="25" t="str">
        <f ca="1">IFERROR(__xludf.DUMMYFUNCTION("""COMPUTED_VALUE"""),"LAMBAYEQUE")</f>
        <v>LAMBAYEQUE</v>
      </c>
      <c r="E659" s="25" t="str">
        <f ca="1">IFERROR(__xludf.DUMMYFUNCTION("""COMPUTED_VALUE"""),"CAJAMARCA")</f>
        <v>CAJAMARCA</v>
      </c>
      <c r="F659" s="25" t="str">
        <f ca="1">IFERROR(__xludf.DUMMYFUNCTION("""COMPUTED_VALUE"""),"SAN IGNACIO")</f>
        <v>SAN IGNACIO</v>
      </c>
      <c r="G659" s="25" t="str">
        <f ca="1">IFERROR(__xludf.DUMMYFUNCTION("""COMPUTED_VALUE"""),"TABACONAS")</f>
        <v>TABACONAS</v>
      </c>
      <c r="H659" s="25" t="str">
        <f ca="1">IFERROR(__xludf.DUMMYFUNCTION("""COMPUTED_VALUE"""),"RURAL")</f>
        <v>RURAL</v>
      </c>
      <c r="I659" s="25" t="str">
        <f ca="1">IFERROR(__xludf.DUMMYFUNCTION("""COMPUTED_VALUE"""),"Prioridad 5")</f>
        <v>Prioridad 5</v>
      </c>
      <c r="J659" s="43" t="s">
        <v>264</v>
      </c>
    </row>
    <row r="660" spans="2:10">
      <c r="B660" s="25" t="str">
        <f ca="1">IFERROR(__xludf.DUMMYFUNCTION("""COMPUTED_VALUE"""),"MUNICIPALIDAD PROVINCIAL")</f>
        <v>MUNICIPALIDAD PROVINCIAL</v>
      </c>
      <c r="C660" s="25" t="str">
        <f ca="1">IFERROR(__xludf.DUMMYFUNCTION("""COMPUTED_VALUE"""),"MUNICIPALIDAD PROVINCIAL DE JAEN")</f>
        <v>MUNICIPALIDAD PROVINCIAL DE JAEN</v>
      </c>
      <c r="D660" s="25" t="str">
        <f ca="1">IFERROR(__xludf.DUMMYFUNCTION("""COMPUTED_VALUE"""),"LAMBAYEQUE")</f>
        <v>LAMBAYEQUE</v>
      </c>
      <c r="E660" s="25" t="str">
        <f ca="1">IFERROR(__xludf.DUMMYFUNCTION("""COMPUTED_VALUE"""),"CAJAMARCA")</f>
        <v>CAJAMARCA</v>
      </c>
      <c r="F660" s="25" t="str">
        <f ca="1">IFERROR(__xludf.DUMMYFUNCTION("""COMPUTED_VALUE"""),"JAEN")</f>
        <v>JAEN</v>
      </c>
      <c r="G660" s="25" t="str">
        <f ca="1">IFERROR(__xludf.DUMMYFUNCTION("""COMPUTED_VALUE"""),"JAEN")</f>
        <v>JAEN</v>
      </c>
      <c r="H660" s="25" t="str">
        <f ca="1">IFERROR(__xludf.DUMMYFUNCTION("""COMPUTED_VALUE"""),"URBANO")</f>
        <v>URBANO</v>
      </c>
      <c r="I660" s="25" t="str">
        <f ca="1">IFERROR(__xludf.DUMMYFUNCTION("""COMPUTED_VALUE"""),"Prioridad 1")</f>
        <v>Prioridad 1</v>
      </c>
      <c r="J660" s="43" t="s">
        <v>264</v>
      </c>
    </row>
    <row r="661" spans="2:10">
      <c r="B661" s="25" t="str">
        <f ca="1">IFERROR(__xludf.DUMMYFUNCTION("""COMPUTED_VALUE"""),"MUNICIPALIDAD DISTRITAL")</f>
        <v>MUNICIPALIDAD DISTRITAL</v>
      </c>
      <c r="C661" s="25" t="str">
        <f ca="1">IFERROR(__xludf.DUMMYFUNCTION("""COMPUTED_VALUE"""),"MUNICIPALIDAD DISTRITAL DE BELLAVISTA EN JAEN")</f>
        <v>MUNICIPALIDAD DISTRITAL DE BELLAVISTA EN JAEN</v>
      </c>
      <c r="D661" s="25" t="str">
        <f ca="1">IFERROR(__xludf.DUMMYFUNCTION("""COMPUTED_VALUE"""),"LAMBAYEQUE")</f>
        <v>LAMBAYEQUE</v>
      </c>
      <c r="E661" s="25" t="str">
        <f ca="1">IFERROR(__xludf.DUMMYFUNCTION("""COMPUTED_VALUE"""),"CAJAMARCA")</f>
        <v>CAJAMARCA</v>
      </c>
      <c r="F661" s="25" t="str">
        <f ca="1">IFERROR(__xludf.DUMMYFUNCTION("""COMPUTED_VALUE"""),"JAEN")</f>
        <v>JAEN</v>
      </c>
      <c r="G661" s="25" t="str">
        <f ca="1">IFERROR(__xludf.DUMMYFUNCTION("""COMPUTED_VALUE"""),"BELLAVISTA")</f>
        <v>BELLAVISTA</v>
      </c>
      <c r="H661" s="25" t="str">
        <f ca="1">IFERROR(__xludf.DUMMYFUNCTION("""COMPUTED_VALUE"""),"URBANO")</f>
        <v>URBANO</v>
      </c>
      <c r="I661" s="25" t="str">
        <f ca="1">IFERROR(__xludf.DUMMYFUNCTION("""COMPUTED_VALUE"""),"Prioridad 3")</f>
        <v>Prioridad 3</v>
      </c>
      <c r="J661" s="43" t="s">
        <v>264</v>
      </c>
    </row>
    <row r="662" spans="2:10">
      <c r="B662" s="25" t="str">
        <f ca="1">IFERROR(__xludf.DUMMYFUNCTION("""COMPUTED_VALUE"""),"MUNICIPALIDAD DISTRITAL")</f>
        <v>MUNICIPALIDAD DISTRITAL</v>
      </c>
      <c r="C662" s="25" t="str">
        <f ca="1">IFERROR(__xludf.DUMMYFUNCTION("""COMPUTED_VALUE"""),"MUNICIPALIDAD DISTRITAL DE PUCARA EN JAEN")</f>
        <v>MUNICIPALIDAD DISTRITAL DE PUCARA EN JAEN</v>
      </c>
      <c r="D662" s="25" t="str">
        <f ca="1">IFERROR(__xludf.DUMMYFUNCTION("""COMPUTED_VALUE"""),"LAMBAYEQUE")</f>
        <v>LAMBAYEQUE</v>
      </c>
      <c r="E662" s="25" t="str">
        <f ca="1">IFERROR(__xludf.DUMMYFUNCTION("""COMPUTED_VALUE"""),"CAJAMARCA")</f>
        <v>CAJAMARCA</v>
      </c>
      <c r="F662" s="25" t="str">
        <f ca="1">IFERROR(__xludf.DUMMYFUNCTION("""COMPUTED_VALUE"""),"JAEN")</f>
        <v>JAEN</v>
      </c>
      <c r="G662" s="25" t="str">
        <f ca="1">IFERROR(__xludf.DUMMYFUNCTION("""COMPUTED_VALUE"""),"PUCARA")</f>
        <v>PUCARA</v>
      </c>
      <c r="H662" s="25" t="str">
        <f ca="1">IFERROR(__xludf.DUMMYFUNCTION("""COMPUTED_VALUE"""),"URBANO")</f>
        <v>URBANO</v>
      </c>
      <c r="I662" s="25" t="str">
        <f ca="1">IFERROR(__xludf.DUMMYFUNCTION("""COMPUTED_VALUE"""),"Prioridad 3")</f>
        <v>Prioridad 3</v>
      </c>
      <c r="J662" s="43" t="s">
        <v>264</v>
      </c>
    </row>
    <row r="663" spans="2:10">
      <c r="B663" s="25" t="str">
        <f ca="1">IFERROR(__xludf.DUMMYFUNCTION("""COMPUTED_VALUE"""),"MUNICIPALIDAD DISTRITAL")</f>
        <v>MUNICIPALIDAD DISTRITAL</v>
      </c>
      <c r="C663" s="25" t="str">
        <f ca="1">IFERROR(__xludf.DUMMYFUNCTION("""COMPUTED_VALUE"""),"MUNICIPALIDAD DISTRITAL DE CHONTALI")</f>
        <v>MUNICIPALIDAD DISTRITAL DE CHONTALI</v>
      </c>
      <c r="D663" s="25" t="str">
        <f ca="1">IFERROR(__xludf.DUMMYFUNCTION("""COMPUTED_VALUE"""),"LAMBAYEQUE")</f>
        <v>LAMBAYEQUE</v>
      </c>
      <c r="E663" s="25" t="str">
        <f ca="1">IFERROR(__xludf.DUMMYFUNCTION("""COMPUTED_VALUE"""),"CAJAMARCA")</f>
        <v>CAJAMARCA</v>
      </c>
      <c r="F663" s="25" t="str">
        <f ca="1">IFERROR(__xludf.DUMMYFUNCTION("""COMPUTED_VALUE"""),"JAEN")</f>
        <v>JAEN</v>
      </c>
      <c r="G663" s="25" t="str">
        <f ca="1">IFERROR(__xludf.DUMMYFUNCTION("""COMPUTED_VALUE"""),"CHONTALI")</f>
        <v>CHONTALI</v>
      </c>
      <c r="H663" s="25" t="str">
        <f ca="1">IFERROR(__xludf.DUMMYFUNCTION("""COMPUTED_VALUE"""),"RURAL")</f>
        <v>RURAL</v>
      </c>
      <c r="I663" s="25" t="str">
        <f ca="1">IFERROR(__xludf.DUMMYFUNCTION("""COMPUTED_VALUE"""),"Prioridad 5")</f>
        <v>Prioridad 5</v>
      </c>
      <c r="J663" s="43" t="s">
        <v>264</v>
      </c>
    </row>
    <row r="664" spans="2:10">
      <c r="B664" s="25" t="str">
        <f ca="1">IFERROR(__xludf.DUMMYFUNCTION("""COMPUTED_VALUE"""),"MUNICIPALIDAD DISTRITAL")</f>
        <v>MUNICIPALIDAD DISTRITAL</v>
      </c>
      <c r="C664" s="25" t="str">
        <f ca="1">IFERROR(__xludf.DUMMYFUNCTION("""COMPUTED_VALUE"""),"MUNICIPALIDAD DISTRITAL DE COLASAY")</f>
        <v>MUNICIPALIDAD DISTRITAL DE COLASAY</v>
      </c>
      <c r="D664" s="25" t="str">
        <f ca="1">IFERROR(__xludf.DUMMYFUNCTION("""COMPUTED_VALUE"""),"LAMBAYEQUE")</f>
        <v>LAMBAYEQUE</v>
      </c>
      <c r="E664" s="25" t="str">
        <f ca="1">IFERROR(__xludf.DUMMYFUNCTION("""COMPUTED_VALUE"""),"CAJAMARCA")</f>
        <v>CAJAMARCA</v>
      </c>
      <c r="F664" s="25" t="str">
        <f ca="1">IFERROR(__xludf.DUMMYFUNCTION("""COMPUTED_VALUE"""),"JAEN")</f>
        <v>JAEN</v>
      </c>
      <c r="G664" s="25" t="str">
        <f ca="1">IFERROR(__xludf.DUMMYFUNCTION("""COMPUTED_VALUE"""),"COLASAY")</f>
        <v>COLASAY</v>
      </c>
      <c r="H664" s="25" t="str">
        <f ca="1">IFERROR(__xludf.DUMMYFUNCTION("""COMPUTED_VALUE"""),"RURAL")</f>
        <v>RURAL</v>
      </c>
      <c r="I664" s="25" t="str">
        <f ca="1">IFERROR(__xludf.DUMMYFUNCTION("""COMPUTED_VALUE"""),"Prioridad 5")</f>
        <v>Prioridad 5</v>
      </c>
      <c r="J664" s="43" t="s">
        <v>264</v>
      </c>
    </row>
    <row r="665" spans="2:10">
      <c r="B665" s="25" t="str">
        <f ca="1">IFERROR(__xludf.DUMMYFUNCTION("""COMPUTED_VALUE"""),"MUNICIPALIDAD DISTRITAL")</f>
        <v>MUNICIPALIDAD DISTRITAL</v>
      </c>
      <c r="C665" s="25" t="str">
        <f ca="1">IFERROR(__xludf.DUMMYFUNCTION("""COMPUTED_VALUE"""),"MUNICIPALIDAD DISTRITAL DE HUABAL")</f>
        <v>MUNICIPALIDAD DISTRITAL DE HUABAL</v>
      </c>
      <c r="D665" s="25" t="str">
        <f ca="1">IFERROR(__xludf.DUMMYFUNCTION("""COMPUTED_VALUE"""),"LAMBAYEQUE")</f>
        <v>LAMBAYEQUE</v>
      </c>
      <c r="E665" s="25" t="str">
        <f ca="1">IFERROR(__xludf.DUMMYFUNCTION("""COMPUTED_VALUE"""),"CAJAMARCA")</f>
        <v>CAJAMARCA</v>
      </c>
      <c r="F665" s="25" t="str">
        <f ca="1">IFERROR(__xludf.DUMMYFUNCTION("""COMPUTED_VALUE"""),"JAEN")</f>
        <v>JAEN</v>
      </c>
      <c r="G665" s="25" t="str">
        <f ca="1">IFERROR(__xludf.DUMMYFUNCTION("""COMPUTED_VALUE"""),"HUABAL")</f>
        <v>HUABAL</v>
      </c>
      <c r="H665" s="25" t="str">
        <f ca="1">IFERROR(__xludf.DUMMYFUNCTION("""COMPUTED_VALUE"""),"RURAL")</f>
        <v>RURAL</v>
      </c>
      <c r="I665" s="25" t="str">
        <f ca="1">IFERROR(__xludf.DUMMYFUNCTION("""COMPUTED_VALUE"""),"Prioridad 5")</f>
        <v>Prioridad 5</v>
      </c>
      <c r="J665" s="43" t="s">
        <v>264</v>
      </c>
    </row>
    <row r="666" spans="2:10">
      <c r="B666" s="25" t="str">
        <f ca="1">IFERROR(__xludf.DUMMYFUNCTION("""COMPUTED_VALUE"""),"MUNICIPALIDAD DISTRITAL")</f>
        <v>MUNICIPALIDAD DISTRITAL</v>
      </c>
      <c r="C666" s="25" t="str">
        <f ca="1">IFERROR(__xludf.DUMMYFUNCTION("""COMPUTED_VALUE"""),"MUNICIPALIDAD DISTRITAL DE LAS PIRIAS")</f>
        <v>MUNICIPALIDAD DISTRITAL DE LAS PIRIAS</v>
      </c>
      <c r="D666" s="25" t="str">
        <f ca="1">IFERROR(__xludf.DUMMYFUNCTION("""COMPUTED_VALUE"""),"LAMBAYEQUE")</f>
        <v>LAMBAYEQUE</v>
      </c>
      <c r="E666" s="25" t="str">
        <f ca="1">IFERROR(__xludf.DUMMYFUNCTION("""COMPUTED_VALUE"""),"CAJAMARCA")</f>
        <v>CAJAMARCA</v>
      </c>
      <c r="F666" s="25" t="str">
        <f ca="1">IFERROR(__xludf.DUMMYFUNCTION("""COMPUTED_VALUE"""),"JAEN")</f>
        <v>JAEN</v>
      </c>
      <c r="G666" s="25" t="str">
        <f ca="1">IFERROR(__xludf.DUMMYFUNCTION("""COMPUTED_VALUE"""),"LAS PIRIAS")</f>
        <v>LAS PIRIAS</v>
      </c>
      <c r="H666" s="25" t="str">
        <f ca="1">IFERROR(__xludf.DUMMYFUNCTION("""COMPUTED_VALUE"""),"RURAL")</f>
        <v>RURAL</v>
      </c>
      <c r="I666" s="25" t="str">
        <f ca="1">IFERROR(__xludf.DUMMYFUNCTION("""COMPUTED_VALUE"""),"Prioridad 5")</f>
        <v>Prioridad 5</v>
      </c>
      <c r="J666" s="43" t="s">
        <v>264</v>
      </c>
    </row>
    <row r="667" spans="2:10">
      <c r="B667" s="25" t="str">
        <f ca="1">IFERROR(__xludf.DUMMYFUNCTION("""COMPUTED_VALUE"""),"MUNICIPALIDAD DISTRITAL")</f>
        <v>MUNICIPALIDAD DISTRITAL</v>
      </c>
      <c r="C667" s="25" t="str">
        <f ca="1">IFERROR(__xludf.DUMMYFUNCTION("""COMPUTED_VALUE"""),"MUNICIPALIDAD DISTRITAL DE POMAHUACA")</f>
        <v>MUNICIPALIDAD DISTRITAL DE POMAHUACA</v>
      </c>
      <c r="D667" s="25" t="str">
        <f ca="1">IFERROR(__xludf.DUMMYFUNCTION("""COMPUTED_VALUE"""),"LAMBAYEQUE")</f>
        <v>LAMBAYEQUE</v>
      </c>
      <c r="E667" s="25" t="str">
        <f ca="1">IFERROR(__xludf.DUMMYFUNCTION("""COMPUTED_VALUE"""),"CAJAMARCA")</f>
        <v>CAJAMARCA</v>
      </c>
      <c r="F667" s="25" t="str">
        <f ca="1">IFERROR(__xludf.DUMMYFUNCTION("""COMPUTED_VALUE"""),"JAEN")</f>
        <v>JAEN</v>
      </c>
      <c r="G667" s="25" t="str">
        <f ca="1">IFERROR(__xludf.DUMMYFUNCTION("""COMPUTED_VALUE"""),"POMAHUACA")</f>
        <v>POMAHUACA</v>
      </c>
      <c r="H667" s="25" t="str">
        <f ca="1">IFERROR(__xludf.DUMMYFUNCTION("""COMPUTED_VALUE"""),"RURAL")</f>
        <v>RURAL</v>
      </c>
      <c r="I667" s="25" t="str">
        <f ca="1">IFERROR(__xludf.DUMMYFUNCTION("""COMPUTED_VALUE"""),"Prioridad 5")</f>
        <v>Prioridad 5</v>
      </c>
      <c r="J667" s="43" t="s">
        <v>264</v>
      </c>
    </row>
    <row r="668" spans="2:10">
      <c r="B668" s="25" t="str">
        <f ca="1">IFERROR(__xludf.DUMMYFUNCTION("""COMPUTED_VALUE"""),"MUNICIPALIDAD DISTRITAL")</f>
        <v>MUNICIPALIDAD DISTRITAL</v>
      </c>
      <c r="C668" s="25" t="str">
        <f ca="1">IFERROR(__xludf.DUMMYFUNCTION("""COMPUTED_VALUE"""),"MUNICIPALIDAD DISTRITAL DE SALLIQUE")</f>
        <v>MUNICIPALIDAD DISTRITAL DE SALLIQUE</v>
      </c>
      <c r="D668" s="25" t="str">
        <f ca="1">IFERROR(__xludf.DUMMYFUNCTION("""COMPUTED_VALUE"""),"LAMBAYEQUE")</f>
        <v>LAMBAYEQUE</v>
      </c>
      <c r="E668" s="25" t="str">
        <f ca="1">IFERROR(__xludf.DUMMYFUNCTION("""COMPUTED_VALUE"""),"CAJAMARCA")</f>
        <v>CAJAMARCA</v>
      </c>
      <c r="F668" s="25" t="str">
        <f ca="1">IFERROR(__xludf.DUMMYFUNCTION("""COMPUTED_VALUE"""),"JAEN")</f>
        <v>JAEN</v>
      </c>
      <c r="G668" s="25" t="str">
        <f ca="1">IFERROR(__xludf.DUMMYFUNCTION("""COMPUTED_VALUE"""),"SALLIQUE")</f>
        <v>SALLIQUE</v>
      </c>
      <c r="H668" s="25" t="str">
        <f ca="1">IFERROR(__xludf.DUMMYFUNCTION("""COMPUTED_VALUE"""),"RURAL")</f>
        <v>RURAL</v>
      </c>
      <c r="I668" s="25" t="str">
        <f ca="1">IFERROR(__xludf.DUMMYFUNCTION("""COMPUTED_VALUE"""),"Prioridad 5")</f>
        <v>Prioridad 5</v>
      </c>
      <c r="J668" s="43" t="s">
        <v>264</v>
      </c>
    </row>
    <row r="669" spans="2:10">
      <c r="B669" s="25" t="str">
        <f ca="1">IFERROR(__xludf.DUMMYFUNCTION("""COMPUTED_VALUE"""),"MUNICIPALIDAD DISTRITAL")</f>
        <v>MUNICIPALIDAD DISTRITAL</v>
      </c>
      <c r="C669" s="25" t="str">
        <f ca="1">IFERROR(__xludf.DUMMYFUNCTION("""COMPUTED_VALUE"""),"MUNICIPALIDAD DISTRITAL DE SAN FELIPE")</f>
        <v>MUNICIPALIDAD DISTRITAL DE SAN FELIPE</v>
      </c>
      <c r="D669" s="25" t="str">
        <f ca="1">IFERROR(__xludf.DUMMYFUNCTION("""COMPUTED_VALUE"""),"LAMBAYEQUE")</f>
        <v>LAMBAYEQUE</v>
      </c>
      <c r="E669" s="25" t="str">
        <f ca="1">IFERROR(__xludf.DUMMYFUNCTION("""COMPUTED_VALUE"""),"CAJAMARCA")</f>
        <v>CAJAMARCA</v>
      </c>
      <c r="F669" s="25" t="str">
        <f ca="1">IFERROR(__xludf.DUMMYFUNCTION("""COMPUTED_VALUE"""),"JAEN")</f>
        <v>JAEN</v>
      </c>
      <c r="G669" s="25" t="str">
        <f ca="1">IFERROR(__xludf.DUMMYFUNCTION("""COMPUTED_VALUE"""),"SAN FELIPE")</f>
        <v>SAN FELIPE</v>
      </c>
      <c r="H669" s="25" t="str">
        <f ca="1">IFERROR(__xludf.DUMMYFUNCTION("""COMPUTED_VALUE"""),"RURAL")</f>
        <v>RURAL</v>
      </c>
      <c r="I669" s="25" t="str">
        <f ca="1">IFERROR(__xludf.DUMMYFUNCTION("""COMPUTED_VALUE"""),"Prioridad 5")</f>
        <v>Prioridad 5</v>
      </c>
      <c r="J669" s="43" t="s">
        <v>264</v>
      </c>
    </row>
    <row r="670" spans="2:10">
      <c r="B670" s="25" t="str">
        <f ca="1">IFERROR(__xludf.DUMMYFUNCTION("""COMPUTED_VALUE"""),"MUNICIPALIDAD DISTRITAL")</f>
        <v>MUNICIPALIDAD DISTRITAL</v>
      </c>
      <c r="C670" s="25" t="str">
        <f ca="1">IFERROR(__xludf.DUMMYFUNCTION("""COMPUTED_VALUE"""),"MUNICIPALIDAD DISTRITAL DE SAN JOSE DEL ALTO")</f>
        <v>MUNICIPALIDAD DISTRITAL DE SAN JOSE DEL ALTO</v>
      </c>
      <c r="D670" s="25" t="str">
        <f ca="1">IFERROR(__xludf.DUMMYFUNCTION("""COMPUTED_VALUE"""),"LAMBAYEQUE")</f>
        <v>LAMBAYEQUE</v>
      </c>
      <c r="E670" s="25" t="str">
        <f ca="1">IFERROR(__xludf.DUMMYFUNCTION("""COMPUTED_VALUE"""),"CAJAMARCA")</f>
        <v>CAJAMARCA</v>
      </c>
      <c r="F670" s="25" t="str">
        <f ca="1">IFERROR(__xludf.DUMMYFUNCTION("""COMPUTED_VALUE"""),"JAEN")</f>
        <v>JAEN</v>
      </c>
      <c r="G670" s="25" t="str">
        <f ca="1">IFERROR(__xludf.DUMMYFUNCTION("""COMPUTED_VALUE"""),"SAN JOSE DEL ALTO")</f>
        <v>SAN JOSE DEL ALTO</v>
      </c>
      <c r="H670" s="25" t="str">
        <f ca="1">IFERROR(__xludf.DUMMYFUNCTION("""COMPUTED_VALUE"""),"RURAL")</f>
        <v>RURAL</v>
      </c>
      <c r="I670" s="25" t="str">
        <f ca="1">IFERROR(__xludf.DUMMYFUNCTION("""COMPUTED_VALUE"""),"Prioridad 5")</f>
        <v>Prioridad 5</v>
      </c>
      <c r="J670" s="43" t="s">
        <v>264</v>
      </c>
    </row>
    <row r="671" spans="2:10">
      <c r="B671" s="25" t="str">
        <f ca="1">IFERROR(__xludf.DUMMYFUNCTION("""COMPUTED_VALUE"""),"MUNICIPALIDAD DISTRITAL")</f>
        <v>MUNICIPALIDAD DISTRITAL</v>
      </c>
      <c r="C671" s="25" t="str">
        <f ca="1">IFERROR(__xludf.DUMMYFUNCTION("""COMPUTED_VALUE"""),"MUNICIPALIDAD DISTRITAL DE SANTA ROSA EN JAEN")</f>
        <v>MUNICIPALIDAD DISTRITAL DE SANTA ROSA EN JAEN</v>
      </c>
      <c r="D671" s="25" t="str">
        <f ca="1">IFERROR(__xludf.DUMMYFUNCTION("""COMPUTED_VALUE"""),"LAMBAYEQUE")</f>
        <v>LAMBAYEQUE</v>
      </c>
      <c r="E671" s="25" t="str">
        <f ca="1">IFERROR(__xludf.DUMMYFUNCTION("""COMPUTED_VALUE"""),"CAJAMARCA")</f>
        <v>CAJAMARCA</v>
      </c>
      <c r="F671" s="25" t="str">
        <f ca="1">IFERROR(__xludf.DUMMYFUNCTION("""COMPUTED_VALUE"""),"JAEN")</f>
        <v>JAEN</v>
      </c>
      <c r="G671" s="25" t="str">
        <f ca="1">IFERROR(__xludf.DUMMYFUNCTION("""COMPUTED_VALUE"""),"SANTA ROSA")</f>
        <v>SANTA ROSA</v>
      </c>
      <c r="H671" s="25" t="str">
        <f ca="1">IFERROR(__xludf.DUMMYFUNCTION("""COMPUTED_VALUE"""),"RURAL")</f>
        <v>RURAL</v>
      </c>
      <c r="I671" s="25" t="str">
        <f ca="1">IFERROR(__xludf.DUMMYFUNCTION("""COMPUTED_VALUE"""),"Prioridad 5")</f>
        <v>Prioridad 5</v>
      </c>
      <c r="J671" s="43" t="s">
        <v>264</v>
      </c>
    </row>
    <row r="672" spans="2:10">
      <c r="B672" s="25" t="str">
        <f ca="1">IFERROR(__xludf.DUMMYFUNCTION("""COMPUTED_VALUE"""),"MUNICIPALIDAD PROVINCIAL")</f>
        <v>MUNICIPALIDAD PROVINCIAL</v>
      </c>
      <c r="C672" s="25" t="str">
        <f ca="1">IFERROR(__xludf.DUMMYFUNCTION("""COMPUTED_VALUE"""),"MUNICIPALIDAD PROVINCIAL DE SAN MARCOS")</f>
        <v>MUNICIPALIDAD PROVINCIAL DE SAN MARCOS</v>
      </c>
      <c r="D672" s="25" t="str">
        <f ca="1">IFERROR(__xludf.DUMMYFUNCTION("""COMPUTED_VALUE"""),"CAJAMARCA")</f>
        <v>CAJAMARCA</v>
      </c>
      <c r="E672" s="25" t="str">
        <f ca="1">IFERROR(__xludf.DUMMYFUNCTION("""COMPUTED_VALUE"""),"CAJAMARCA")</f>
        <v>CAJAMARCA</v>
      </c>
      <c r="F672" s="25" t="str">
        <f ca="1">IFERROR(__xludf.DUMMYFUNCTION("""COMPUTED_VALUE"""),"SAN MARCOS")</f>
        <v>SAN MARCOS</v>
      </c>
      <c r="G672" s="25" t="str">
        <f ca="1">IFERROR(__xludf.DUMMYFUNCTION("""COMPUTED_VALUE"""),"PEDRO GALVEZ")</f>
        <v>PEDRO GALVEZ</v>
      </c>
      <c r="H672" s="25" t="str">
        <f ca="1">IFERROR(__xludf.DUMMYFUNCTION("""COMPUTED_VALUE"""),"RURAL")</f>
        <v>RURAL</v>
      </c>
      <c r="I672" s="25" t="str">
        <f ca="1">IFERROR(__xludf.DUMMYFUNCTION("""COMPUTED_VALUE"""),"Prioridad 2")</f>
        <v>Prioridad 2</v>
      </c>
      <c r="J672" s="43" t="s">
        <v>264</v>
      </c>
    </row>
    <row r="673" spans="2:10">
      <c r="B673" s="25" t="str">
        <f ca="1">IFERROR(__xludf.DUMMYFUNCTION("""COMPUTED_VALUE"""),"MUNICIPALIDAD DISTRITAL")</f>
        <v>MUNICIPALIDAD DISTRITAL</v>
      </c>
      <c r="C673" s="25" t="str">
        <f ca="1">IFERROR(__xludf.DUMMYFUNCTION("""COMPUTED_VALUE"""),"MUNICIPALIDAD DISTRITAL DE EDUARDO VILLANUEVA")</f>
        <v>MUNICIPALIDAD DISTRITAL DE EDUARDO VILLANUEVA</v>
      </c>
      <c r="D673" s="25" t="str">
        <f ca="1">IFERROR(__xludf.DUMMYFUNCTION("""COMPUTED_VALUE"""),"CAJAMARCA")</f>
        <v>CAJAMARCA</v>
      </c>
      <c r="E673" s="25" t="str">
        <f ca="1">IFERROR(__xludf.DUMMYFUNCTION("""COMPUTED_VALUE"""),"CAJAMARCA")</f>
        <v>CAJAMARCA</v>
      </c>
      <c r="F673" s="25" t="str">
        <f ca="1">IFERROR(__xludf.DUMMYFUNCTION("""COMPUTED_VALUE"""),"SAN MARCOS")</f>
        <v>SAN MARCOS</v>
      </c>
      <c r="G673" s="25" t="str">
        <f ca="1">IFERROR(__xludf.DUMMYFUNCTION("""COMPUTED_VALUE"""),"EDUARDO VILLANUEVA")</f>
        <v>EDUARDO VILLANUEVA</v>
      </c>
      <c r="H673" s="25" t="str">
        <f ca="1">IFERROR(__xludf.DUMMYFUNCTION("""COMPUTED_VALUE"""),"RURAL")</f>
        <v>RURAL</v>
      </c>
      <c r="I673" s="25" t="str">
        <f ca="1">IFERROR(__xludf.DUMMYFUNCTION("""COMPUTED_VALUE"""),"Prioridad 3")</f>
        <v>Prioridad 3</v>
      </c>
      <c r="J673" s="43" t="s">
        <v>264</v>
      </c>
    </row>
    <row r="674" spans="2:10">
      <c r="B674" s="25" t="str">
        <f ca="1">IFERROR(__xludf.DUMMYFUNCTION("""COMPUTED_VALUE"""),"MUNICIPALIDAD DISTRITAL")</f>
        <v>MUNICIPALIDAD DISTRITAL</v>
      </c>
      <c r="C674" s="25" t="str">
        <f ca="1">IFERROR(__xludf.DUMMYFUNCTION("""COMPUTED_VALUE"""),"MUNICIPALIDAD DISTRITAL DE CHANCAY EN SAN MARCOS")</f>
        <v>MUNICIPALIDAD DISTRITAL DE CHANCAY EN SAN MARCOS</v>
      </c>
      <c r="D674" s="25" t="str">
        <f ca="1">IFERROR(__xludf.DUMMYFUNCTION("""COMPUTED_VALUE"""),"CAJAMARCA")</f>
        <v>CAJAMARCA</v>
      </c>
      <c r="E674" s="25" t="str">
        <f ca="1">IFERROR(__xludf.DUMMYFUNCTION("""COMPUTED_VALUE"""),"CAJAMARCA")</f>
        <v>CAJAMARCA</v>
      </c>
      <c r="F674" s="25" t="str">
        <f ca="1">IFERROR(__xludf.DUMMYFUNCTION("""COMPUTED_VALUE"""),"SAN MARCOS")</f>
        <v>SAN MARCOS</v>
      </c>
      <c r="G674" s="25" t="str">
        <f ca="1">IFERROR(__xludf.DUMMYFUNCTION("""COMPUTED_VALUE"""),"CHANCAY")</f>
        <v>CHANCAY</v>
      </c>
      <c r="H674" s="25" t="str">
        <f ca="1">IFERROR(__xludf.DUMMYFUNCTION("""COMPUTED_VALUE"""),"RURAL")</f>
        <v>RURAL</v>
      </c>
      <c r="I674" s="25" t="str">
        <f ca="1">IFERROR(__xludf.DUMMYFUNCTION("""COMPUTED_VALUE"""),"Prioridad 5")</f>
        <v>Prioridad 5</v>
      </c>
      <c r="J674" s="43" t="s">
        <v>264</v>
      </c>
    </row>
    <row r="675" spans="2:10">
      <c r="B675" s="25" t="str">
        <f ca="1">IFERROR(__xludf.DUMMYFUNCTION("""COMPUTED_VALUE"""),"MUNICIPALIDAD DISTRITAL")</f>
        <v>MUNICIPALIDAD DISTRITAL</v>
      </c>
      <c r="C675" s="25" t="str">
        <f ca="1">IFERROR(__xludf.DUMMYFUNCTION("""COMPUTED_VALUE"""),"MUNICIPALIDAD DISTRITAL DE GREGORIO PITA")</f>
        <v>MUNICIPALIDAD DISTRITAL DE GREGORIO PITA</v>
      </c>
      <c r="D675" s="25" t="str">
        <f ca="1">IFERROR(__xludf.DUMMYFUNCTION("""COMPUTED_VALUE"""),"CAJAMARCA")</f>
        <v>CAJAMARCA</v>
      </c>
      <c r="E675" s="25" t="str">
        <f ca="1">IFERROR(__xludf.DUMMYFUNCTION("""COMPUTED_VALUE"""),"CAJAMARCA")</f>
        <v>CAJAMARCA</v>
      </c>
      <c r="F675" s="25" t="str">
        <f ca="1">IFERROR(__xludf.DUMMYFUNCTION("""COMPUTED_VALUE"""),"SAN MARCOS")</f>
        <v>SAN MARCOS</v>
      </c>
      <c r="G675" s="25" t="str">
        <f ca="1">IFERROR(__xludf.DUMMYFUNCTION("""COMPUTED_VALUE"""),"GREGORIO PITA")</f>
        <v>GREGORIO PITA</v>
      </c>
      <c r="H675" s="25" t="str">
        <f ca="1">IFERROR(__xludf.DUMMYFUNCTION("""COMPUTED_VALUE"""),"RURAL")</f>
        <v>RURAL</v>
      </c>
      <c r="I675" s="25" t="str">
        <f ca="1">IFERROR(__xludf.DUMMYFUNCTION("""COMPUTED_VALUE"""),"Prioridad 5")</f>
        <v>Prioridad 5</v>
      </c>
      <c r="J675" s="43" t="s">
        <v>264</v>
      </c>
    </row>
    <row r="676" spans="2:10">
      <c r="B676" s="25" t="str">
        <f ca="1">IFERROR(__xludf.DUMMYFUNCTION("""COMPUTED_VALUE"""),"MUNICIPALIDAD DISTRITAL")</f>
        <v>MUNICIPALIDAD DISTRITAL</v>
      </c>
      <c r="C676" s="25" t="str">
        <f ca="1">IFERROR(__xludf.DUMMYFUNCTION("""COMPUTED_VALUE"""),"MUNICIPALIDAD DISTRITAL DE ICHOCAN")</f>
        <v>MUNICIPALIDAD DISTRITAL DE ICHOCAN</v>
      </c>
      <c r="D676" s="25" t="str">
        <f ca="1">IFERROR(__xludf.DUMMYFUNCTION("""COMPUTED_VALUE"""),"CAJAMARCA")</f>
        <v>CAJAMARCA</v>
      </c>
      <c r="E676" s="25" t="str">
        <f ca="1">IFERROR(__xludf.DUMMYFUNCTION("""COMPUTED_VALUE"""),"CAJAMARCA")</f>
        <v>CAJAMARCA</v>
      </c>
      <c r="F676" s="25" t="str">
        <f ca="1">IFERROR(__xludf.DUMMYFUNCTION("""COMPUTED_VALUE"""),"SAN MARCOS")</f>
        <v>SAN MARCOS</v>
      </c>
      <c r="G676" s="25" t="str">
        <f ca="1">IFERROR(__xludf.DUMMYFUNCTION("""COMPUTED_VALUE"""),"ICHOCAN")</f>
        <v>ICHOCAN</v>
      </c>
      <c r="H676" s="25" t="str">
        <f ca="1">IFERROR(__xludf.DUMMYFUNCTION("""COMPUTED_VALUE"""),"RURAL")</f>
        <v>RURAL</v>
      </c>
      <c r="I676" s="25" t="str">
        <f ca="1">IFERROR(__xludf.DUMMYFUNCTION("""COMPUTED_VALUE"""),"Prioridad 3")</f>
        <v>Prioridad 3</v>
      </c>
      <c r="J676" s="43" t="s">
        <v>264</v>
      </c>
    </row>
    <row r="677" spans="2:10">
      <c r="B677" s="25" t="str">
        <f ca="1">IFERROR(__xludf.DUMMYFUNCTION("""COMPUTED_VALUE"""),"MUNICIPALIDAD DISTRITAL")</f>
        <v>MUNICIPALIDAD DISTRITAL</v>
      </c>
      <c r="C677" s="25" t="str">
        <f ca="1">IFERROR(__xludf.DUMMYFUNCTION("""COMPUTED_VALUE"""),"MUNICIPALIDAD DISTRITAL DE JOSE MANUEL QUIROZ")</f>
        <v>MUNICIPALIDAD DISTRITAL DE JOSE MANUEL QUIROZ</v>
      </c>
      <c r="D677" s="25" t="str">
        <f ca="1">IFERROR(__xludf.DUMMYFUNCTION("""COMPUTED_VALUE"""),"CAJAMARCA")</f>
        <v>CAJAMARCA</v>
      </c>
      <c r="E677" s="25" t="str">
        <f ca="1">IFERROR(__xludf.DUMMYFUNCTION("""COMPUTED_VALUE"""),"CAJAMARCA")</f>
        <v>CAJAMARCA</v>
      </c>
      <c r="F677" s="25" t="str">
        <f ca="1">IFERROR(__xludf.DUMMYFUNCTION("""COMPUTED_VALUE"""),"SAN MARCOS")</f>
        <v>SAN MARCOS</v>
      </c>
      <c r="G677" s="25" t="str">
        <f ca="1">IFERROR(__xludf.DUMMYFUNCTION("""COMPUTED_VALUE"""),"JOSE MANUEL QUIROZ")</f>
        <v>JOSE MANUEL QUIROZ</v>
      </c>
      <c r="H677" s="25" t="str">
        <f ca="1">IFERROR(__xludf.DUMMYFUNCTION("""COMPUTED_VALUE"""),"RURAL")</f>
        <v>RURAL</v>
      </c>
      <c r="I677" s="25" t="str">
        <f ca="1">IFERROR(__xludf.DUMMYFUNCTION("""COMPUTED_VALUE"""),"Prioridad 4")</f>
        <v>Prioridad 4</v>
      </c>
      <c r="J677" s="43" t="s">
        <v>264</v>
      </c>
    </row>
    <row r="678" spans="2:10">
      <c r="B678" s="25" t="str">
        <f ca="1">IFERROR(__xludf.DUMMYFUNCTION("""COMPUTED_VALUE"""),"MUNICIPALIDAD DISTRITAL")</f>
        <v>MUNICIPALIDAD DISTRITAL</v>
      </c>
      <c r="C678" s="25" t="str">
        <f ca="1">IFERROR(__xludf.DUMMYFUNCTION("""COMPUTED_VALUE"""),"MUNICIPALIDAD DISTRITAL DE JOSE SABOGAL")</f>
        <v>MUNICIPALIDAD DISTRITAL DE JOSE SABOGAL</v>
      </c>
      <c r="D678" s="25" t="str">
        <f ca="1">IFERROR(__xludf.DUMMYFUNCTION("""COMPUTED_VALUE"""),"CAJAMARCA")</f>
        <v>CAJAMARCA</v>
      </c>
      <c r="E678" s="25" t="str">
        <f ca="1">IFERROR(__xludf.DUMMYFUNCTION("""COMPUTED_VALUE"""),"CAJAMARCA")</f>
        <v>CAJAMARCA</v>
      </c>
      <c r="F678" s="25" t="str">
        <f ca="1">IFERROR(__xludf.DUMMYFUNCTION("""COMPUTED_VALUE"""),"SAN MARCOS")</f>
        <v>SAN MARCOS</v>
      </c>
      <c r="G678" s="25" t="str">
        <f ca="1">IFERROR(__xludf.DUMMYFUNCTION("""COMPUTED_VALUE"""),"JOSE SABOGAL")</f>
        <v>JOSE SABOGAL</v>
      </c>
      <c r="H678" s="25" t="str">
        <f ca="1">IFERROR(__xludf.DUMMYFUNCTION("""COMPUTED_VALUE"""),"RURAL")</f>
        <v>RURAL</v>
      </c>
      <c r="I678" s="25" t="str">
        <f ca="1">IFERROR(__xludf.DUMMYFUNCTION("""COMPUTED_VALUE"""),"Prioridad 4")</f>
        <v>Prioridad 4</v>
      </c>
      <c r="J678" s="43" t="s">
        <v>264</v>
      </c>
    </row>
    <row r="679" spans="2:10">
      <c r="B679" s="25" t="str">
        <f ca="1">IFERROR(__xludf.DUMMYFUNCTION("""COMPUTED_VALUE"""),"MUNICIPALIDAD PROVINCIAL")</f>
        <v>MUNICIPALIDAD PROVINCIAL</v>
      </c>
      <c r="C679" s="25" t="str">
        <f ca="1">IFERROR(__xludf.DUMMYFUNCTION("""COMPUTED_VALUE"""),"MUNICIPALIDAD PROVINCIAL DE SAN MIGUEL")</f>
        <v>MUNICIPALIDAD PROVINCIAL DE SAN MIGUEL</v>
      </c>
      <c r="D679" s="25" t="str">
        <f ca="1">IFERROR(__xludf.DUMMYFUNCTION("""COMPUTED_VALUE"""),"CAJAMARCA")</f>
        <v>CAJAMARCA</v>
      </c>
      <c r="E679" s="25" t="str">
        <f ca="1">IFERROR(__xludf.DUMMYFUNCTION("""COMPUTED_VALUE"""),"CAJAMARCA")</f>
        <v>CAJAMARCA</v>
      </c>
      <c r="F679" s="25" t="str">
        <f ca="1">IFERROR(__xludf.DUMMYFUNCTION("""COMPUTED_VALUE"""),"SAN MIGUEL")</f>
        <v>SAN MIGUEL</v>
      </c>
      <c r="G679" s="25" t="str">
        <f ca="1">IFERROR(__xludf.DUMMYFUNCTION("""COMPUTED_VALUE"""),"SAN MIGUEL")</f>
        <v>SAN MIGUEL</v>
      </c>
      <c r="H679" s="25" t="str">
        <f ca="1">IFERROR(__xludf.DUMMYFUNCTION("""COMPUTED_VALUE"""),"RURAL")</f>
        <v>RURAL</v>
      </c>
      <c r="I679" s="25" t="str">
        <f ca="1">IFERROR(__xludf.DUMMYFUNCTION("""COMPUTED_VALUE"""),"Prioridad 2")</f>
        <v>Prioridad 2</v>
      </c>
      <c r="J679" s="43" t="s">
        <v>264</v>
      </c>
    </row>
    <row r="680" spans="2:10">
      <c r="B680" s="25" t="str">
        <f ca="1">IFERROR(__xludf.DUMMYFUNCTION("""COMPUTED_VALUE"""),"MUNICIPALIDAD DISTRITAL")</f>
        <v>MUNICIPALIDAD DISTRITAL</v>
      </c>
      <c r="C680" s="25" t="str">
        <f ca="1">IFERROR(__xludf.DUMMYFUNCTION("""COMPUTED_VALUE"""),"MUNICIPALIDAD DISTRITAL DE BOLIVAR")</f>
        <v>MUNICIPALIDAD DISTRITAL DE BOLIVAR</v>
      </c>
      <c r="D680" s="25" t="str">
        <f ca="1">IFERROR(__xludf.DUMMYFUNCTION("""COMPUTED_VALUE"""),"CAJAMARCA")</f>
        <v>CAJAMARCA</v>
      </c>
      <c r="E680" s="25" t="str">
        <f ca="1">IFERROR(__xludf.DUMMYFUNCTION("""COMPUTED_VALUE"""),"CAJAMARCA")</f>
        <v>CAJAMARCA</v>
      </c>
      <c r="F680" s="25" t="str">
        <f ca="1">IFERROR(__xludf.DUMMYFUNCTION("""COMPUTED_VALUE"""),"SAN MIGUEL")</f>
        <v>SAN MIGUEL</v>
      </c>
      <c r="G680" s="25" t="str">
        <f ca="1">IFERROR(__xludf.DUMMYFUNCTION("""COMPUTED_VALUE"""),"BOLIVAR")</f>
        <v>BOLIVAR</v>
      </c>
      <c r="H680" s="25" t="str">
        <f ca="1">IFERROR(__xludf.DUMMYFUNCTION("""COMPUTED_VALUE"""),"RURAL")</f>
        <v>RURAL</v>
      </c>
      <c r="I680" s="25" t="str">
        <f ca="1">IFERROR(__xludf.DUMMYFUNCTION("""COMPUTED_VALUE"""),"Prioridad 5")</f>
        <v>Prioridad 5</v>
      </c>
      <c r="J680" s="43" t="s">
        <v>264</v>
      </c>
    </row>
    <row r="681" spans="2:10">
      <c r="B681" s="25" t="str">
        <f ca="1">IFERROR(__xludf.DUMMYFUNCTION("""COMPUTED_VALUE"""),"MUNICIPALIDAD DISTRITAL")</f>
        <v>MUNICIPALIDAD DISTRITAL</v>
      </c>
      <c r="C681" s="25" t="str">
        <f ca="1">IFERROR(__xludf.DUMMYFUNCTION("""COMPUTED_VALUE"""),"MUNICIPALIDAD DISTRITAL DE CALQUIS")</f>
        <v>MUNICIPALIDAD DISTRITAL DE CALQUIS</v>
      </c>
      <c r="D681" s="25" t="str">
        <f ca="1">IFERROR(__xludf.DUMMYFUNCTION("""COMPUTED_VALUE"""),"CAJAMARCA")</f>
        <v>CAJAMARCA</v>
      </c>
      <c r="E681" s="25" t="str">
        <f ca="1">IFERROR(__xludf.DUMMYFUNCTION("""COMPUTED_VALUE"""),"CAJAMARCA")</f>
        <v>CAJAMARCA</v>
      </c>
      <c r="F681" s="25" t="str">
        <f ca="1">IFERROR(__xludf.DUMMYFUNCTION("""COMPUTED_VALUE"""),"SAN MIGUEL")</f>
        <v>SAN MIGUEL</v>
      </c>
      <c r="G681" s="25" t="str">
        <f ca="1">IFERROR(__xludf.DUMMYFUNCTION("""COMPUTED_VALUE"""),"CALQUIS")</f>
        <v>CALQUIS</v>
      </c>
      <c r="H681" s="25" t="str">
        <f ca="1">IFERROR(__xludf.DUMMYFUNCTION("""COMPUTED_VALUE"""),"RURAL")</f>
        <v>RURAL</v>
      </c>
      <c r="I681" s="25" t="str">
        <f ca="1">IFERROR(__xludf.DUMMYFUNCTION("""COMPUTED_VALUE"""),"Prioridad 5")</f>
        <v>Prioridad 5</v>
      </c>
      <c r="J681" s="43" t="s">
        <v>264</v>
      </c>
    </row>
    <row r="682" spans="2:10">
      <c r="B682" s="25" t="str">
        <f ca="1">IFERROR(__xludf.DUMMYFUNCTION("""COMPUTED_VALUE"""),"MUNICIPALIDAD DISTRITAL")</f>
        <v>MUNICIPALIDAD DISTRITAL</v>
      </c>
      <c r="C682" s="25" t="str">
        <f ca="1">IFERROR(__xludf.DUMMYFUNCTION("""COMPUTED_VALUE"""),"MUNICIPALIDAD DISTRITAL DE CATILLUC")</f>
        <v>MUNICIPALIDAD DISTRITAL DE CATILLUC</v>
      </c>
      <c r="D682" s="25" t="str">
        <f ca="1">IFERROR(__xludf.DUMMYFUNCTION("""COMPUTED_VALUE"""),"CAJAMARCA")</f>
        <v>CAJAMARCA</v>
      </c>
      <c r="E682" s="25" t="str">
        <f ca="1">IFERROR(__xludf.DUMMYFUNCTION("""COMPUTED_VALUE"""),"CAJAMARCA")</f>
        <v>CAJAMARCA</v>
      </c>
      <c r="F682" s="25" t="str">
        <f ca="1">IFERROR(__xludf.DUMMYFUNCTION("""COMPUTED_VALUE"""),"SAN MIGUEL")</f>
        <v>SAN MIGUEL</v>
      </c>
      <c r="G682" s="25" t="str">
        <f ca="1">IFERROR(__xludf.DUMMYFUNCTION("""COMPUTED_VALUE"""),"CATILLUC")</f>
        <v>CATILLUC</v>
      </c>
      <c r="H682" s="25" t="str">
        <f ca="1">IFERROR(__xludf.DUMMYFUNCTION("""COMPUTED_VALUE"""),"RURAL")</f>
        <v>RURAL</v>
      </c>
      <c r="I682" s="25" t="str">
        <f ca="1">IFERROR(__xludf.DUMMYFUNCTION("""COMPUTED_VALUE"""),"Prioridad 5")</f>
        <v>Prioridad 5</v>
      </c>
      <c r="J682" s="43" t="s">
        <v>264</v>
      </c>
    </row>
    <row r="683" spans="2:10">
      <c r="B683" s="25" t="str">
        <f ca="1">IFERROR(__xludf.DUMMYFUNCTION("""COMPUTED_VALUE"""),"MUNICIPALIDAD DISTRITAL")</f>
        <v>MUNICIPALIDAD DISTRITAL</v>
      </c>
      <c r="C683" s="25" t="str">
        <f ca="1">IFERROR(__xludf.DUMMYFUNCTION("""COMPUTED_VALUE"""),"MUNICIPALIDAD DISTRITAL DE EL PRADO")</f>
        <v>MUNICIPALIDAD DISTRITAL DE EL PRADO</v>
      </c>
      <c r="D683" s="25" t="str">
        <f ca="1">IFERROR(__xludf.DUMMYFUNCTION("""COMPUTED_VALUE"""),"CAJAMARCA")</f>
        <v>CAJAMARCA</v>
      </c>
      <c r="E683" s="25" t="str">
        <f ca="1">IFERROR(__xludf.DUMMYFUNCTION("""COMPUTED_VALUE"""),"CAJAMARCA")</f>
        <v>CAJAMARCA</v>
      </c>
      <c r="F683" s="25" t="str">
        <f ca="1">IFERROR(__xludf.DUMMYFUNCTION("""COMPUTED_VALUE"""),"SAN MIGUEL")</f>
        <v>SAN MIGUEL</v>
      </c>
      <c r="G683" s="25" t="str">
        <f ca="1">IFERROR(__xludf.DUMMYFUNCTION("""COMPUTED_VALUE"""),"EL PRADO")</f>
        <v>EL PRADO</v>
      </c>
      <c r="H683" s="25" t="str">
        <f ca="1">IFERROR(__xludf.DUMMYFUNCTION("""COMPUTED_VALUE"""),"RURAL")</f>
        <v>RURAL</v>
      </c>
      <c r="I683" s="25" t="str">
        <f ca="1">IFERROR(__xludf.DUMMYFUNCTION("""COMPUTED_VALUE"""),"Prioridad 3")</f>
        <v>Prioridad 3</v>
      </c>
      <c r="J683" s="43" t="s">
        <v>264</v>
      </c>
    </row>
    <row r="684" spans="2:10">
      <c r="B684" s="25" t="str">
        <f ca="1">IFERROR(__xludf.DUMMYFUNCTION("""COMPUTED_VALUE"""),"MUNICIPALIDAD DISTRITAL")</f>
        <v>MUNICIPALIDAD DISTRITAL</v>
      </c>
      <c r="C684" s="25" t="str">
        <f ca="1">IFERROR(__xludf.DUMMYFUNCTION("""COMPUTED_VALUE"""),"MUNICIPALIDAD DISTRITAL DE LA FLORIDA")</f>
        <v>MUNICIPALIDAD DISTRITAL DE LA FLORIDA</v>
      </c>
      <c r="D684" s="25" t="str">
        <f ca="1">IFERROR(__xludf.DUMMYFUNCTION("""COMPUTED_VALUE"""),"CAJAMARCA")</f>
        <v>CAJAMARCA</v>
      </c>
      <c r="E684" s="25" t="str">
        <f ca="1">IFERROR(__xludf.DUMMYFUNCTION("""COMPUTED_VALUE"""),"CAJAMARCA")</f>
        <v>CAJAMARCA</v>
      </c>
      <c r="F684" s="25" t="str">
        <f ca="1">IFERROR(__xludf.DUMMYFUNCTION("""COMPUTED_VALUE"""),"SAN MIGUEL")</f>
        <v>SAN MIGUEL</v>
      </c>
      <c r="G684" s="25" t="str">
        <f ca="1">IFERROR(__xludf.DUMMYFUNCTION("""COMPUTED_VALUE"""),"LA FLORIDA")</f>
        <v>LA FLORIDA</v>
      </c>
      <c r="H684" s="25" t="str">
        <f ca="1">IFERROR(__xludf.DUMMYFUNCTION("""COMPUTED_VALUE"""),"RURAL")</f>
        <v>RURAL</v>
      </c>
      <c r="I684" s="25" t="str">
        <f ca="1">IFERROR(__xludf.DUMMYFUNCTION("""COMPUTED_VALUE"""),"Prioridad 5")</f>
        <v>Prioridad 5</v>
      </c>
      <c r="J684" s="43" t="s">
        <v>264</v>
      </c>
    </row>
    <row r="685" spans="2:10">
      <c r="B685" s="25" t="str">
        <f ca="1">IFERROR(__xludf.DUMMYFUNCTION("""COMPUTED_VALUE"""),"MUNICIPALIDAD DISTRITAL")</f>
        <v>MUNICIPALIDAD DISTRITAL</v>
      </c>
      <c r="C685" s="25" t="str">
        <f ca="1">IFERROR(__xludf.DUMMYFUNCTION("""COMPUTED_VALUE"""),"MUNICIPALIDAD DISTRITAL DE LLAPA")</f>
        <v>MUNICIPALIDAD DISTRITAL DE LLAPA</v>
      </c>
      <c r="D685" s="25" t="str">
        <f ca="1">IFERROR(__xludf.DUMMYFUNCTION("""COMPUTED_VALUE"""),"CAJAMARCA")</f>
        <v>CAJAMARCA</v>
      </c>
      <c r="E685" s="25" t="str">
        <f ca="1">IFERROR(__xludf.DUMMYFUNCTION("""COMPUTED_VALUE"""),"CAJAMARCA")</f>
        <v>CAJAMARCA</v>
      </c>
      <c r="F685" s="25" t="str">
        <f ca="1">IFERROR(__xludf.DUMMYFUNCTION("""COMPUTED_VALUE"""),"SAN MIGUEL")</f>
        <v>SAN MIGUEL</v>
      </c>
      <c r="G685" s="25" t="str">
        <f ca="1">IFERROR(__xludf.DUMMYFUNCTION("""COMPUTED_VALUE"""),"LLAPA")</f>
        <v>LLAPA</v>
      </c>
      <c r="H685" s="25" t="str">
        <f ca="1">IFERROR(__xludf.DUMMYFUNCTION("""COMPUTED_VALUE"""),"RURAL")</f>
        <v>RURAL</v>
      </c>
      <c r="I685" s="25" t="str">
        <f ca="1">IFERROR(__xludf.DUMMYFUNCTION("""COMPUTED_VALUE"""),"Prioridad 5")</f>
        <v>Prioridad 5</v>
      </c>
      <c r="J685" s="43" t="s">
        <v>264</v>
      </c>
    </row>
    <row r="686" spans="2:10">
      <c r="B686" s="25" t="str">
        <f ca="1">IFERROR(__xludf.DUMMYFUNCTION("""COMPUTED_VALUE"""),"MUNICIPALIDAD DISTRITAL")</f>
        <v>MUNICIPALIDAD DISTRITAL</v>
      </c>
      <c r="C686" s="25" t="str">
        <f ca="1">IFERROR(__xludf.DUMMYFUNCTION("""COMPUTED_VALUE"""),"MUNICIPALIDAD DISTRITAL DE NANCHOC")</f>
        <v>MUNICIPALIDAD DISTRITAL DE NANCHOC</v>
      </c>
      <c r="D686" s="25" t="str">
        <f ca="1">IFERROR(__xludf.DUMMYFUNCTION("""COMPUTED_VALUE"""),"CAJAMARCA")</f>
        <v>CAJAMARCA</v>
      </c>
      <c r="E686" s="25" t="str">
        <f ca="1">IFERROR(__xludf.DUMMYFUNCTION("""COMPUTED_VALUE"""),"CAJAMARCA")</f>
        <v>CAJAMARCA</v>
      </c>
      <c r="F686" s="25" t="str">
        <f ca="1">IFERROR(__xludf.DUMMYFUNCTION("""COMPUTED_VALUE"""),"SAN MIGUEL")</f>
        <v>SAN MIGUEL</v>
      </c>
      <c r="G686" s="25" t="str">
        <f ca="1">IFERROR(__xludf.DUMMYFUNCTION("""COMPUTED_VALUE"""),"NANCHOC")</f>
        <v>NANCHOC</v>
      </c>
      <c r="H686" s="25" t="str">
        <f ca="1">IFERROR(__xludf.DUMMYFUNCTION("""COMPUTED_VALUE"""),"RURAL")</f>
        <v>RURAL</v>
      </c>
      <c r="I686" s="25" t="str">
        <f ca="1">IFERROR(__xludf.DUMMYFUNCTION("""COMPUTED_VALUE"""),"Prioridad 5")</f>
        <v>Prioridad 5</v>
      </c>
      <c r="J686" s="43" t="s">
        <v>264</v>
      </c>
    </row>
    <row r="687" spans="2:10">
      <c r="B687" s="25" t="str">
        <f ca="1">IFERROR(__xludf.DUMMYFUNCTION("""COMPUTED_VALUE"""),"MUNICIPALIDAD DISTRITAL")</f>
        <v>MUNICIPALIDAD DISTRITAL</v>
      </c>
      <c r="C687" s="25" t="str">
        <f ca="1">IFERROR(__xludf.DUMMYFUNCTION("""COMPUTED_VALUE"""),"MUNICIPALIDAD DISTRITAL DE NIEPOS")</f>
        <v>MUNICIPALIDAD DISTRITAL DE NIEPOS</v>
      </c>
      <c r="D687" s="25" t="str">
        <f ca="1">IFERROR(__xludf.DUMMYFUNCTION("""COMPUTED_VALUE"""),"CAJAMARCA")</f>
        <v>CAJAMARCA</v>
      </c>
      <c r="E687" s="25" t="str">
        <f ca="1">IFERROR(__xludf.DUMMYFUNCTION("""COMPUTED_VALUE"""),"CAJAMARCA")</f>
        <v>CAJAMARCA</v>
      </c>
      <c r="F687" s="25" t="str">
        <f ca="1">IFERROR(__xludf.DUMMYFUNCTION("""COMPUTED_VALUE"""),"SAN MIGUEL")</f>
        <v>SAN MIGUEL</v>
      </c>
      <c r="G687" s="25" t="str">
        <f ca="1">IFERROR(__xludf.DUMMYFUNCTION("""COMPUTED_VALUE"""),"NIEPOS")</f>
        <v>NIEPOS</v>
      </c>
      <c r="H687" s="25" t="str">
        <f ca="1">IFERROR(__xludf.DUMMYFUNCTION("""COMPUTED_VALUE"""),"RURAL")</f>
        <v>RURAL</v>
      </c>
      <c r="I687" s="25" t="str">
        <f ca="1">IFERROR(__xludf.DUMMYFUNCTION("""COMPUTED_VALUE"""),"Prioridad 5")</f>
        <v>Prioridad 5</v>
      </c>
      <c r="J687" s="43" t="s">
        <v>264</v>
      </c>
    </row>
    <row r="688" spans="2:10">
      <c r="B688" s="25" t="str">
        <f ca="1">IFERROR(__xludf.DUMMYFUNCTION("""COMPUTED_VALUE"""),"MUNICIPALIDAD DISTRITAL")</f>
        <v>MUNICIPALIDAD DISTRITAL</v>
      </c>
      <c r="C688" s="25" t="str">
        <f ca="1">IFERROR(__xludf.DUMMYFUNCTION("""COMPUTED_VALUE"""),"MUNICIPALIDAD DISTRITAL DE SAN GREGORIO")</f>
        <v>MUNICIPALIDAD DISTRITAL DE SAN GREGORIO</v>
      </c>
      <c r="D688" s="25" t="str">
        <f ca="1">IFERROR(__xludf.DUMMYFUNCTION("""COMPUTED_VALUE"""),"CAJAMARCA")</f>
        <v>CAJAMARCA</v>
      </c>
      <c r="E688" s="25" t="str">
        <f ca="1">IFERROR(__xludf.DUMMYFUNCTION("""COMPUTED_VALUE"""),"CAJAMARCA")</f>
        <v>CAJAMARCA</v>
      </c>
      <c r="F688" s="25" t="str">
        <f ca="1">IFERROR(__xludf.DUMMYFUNCTION("""COMPUTED_VALUE"""),"SAN MIGUEL")</f>
        <v>SAN MIGUEL</v>
      </c>
      <c r="G688" s="25" t="str">
        <f ca="1">IFERROR(__xludf.DUMMYFUNCTION("""COMPUTED_VALUE"""),"SAN GREGORIO")</f>
        <v>SAN GREGORIO</v>
      </c>
      <c r="H688" s="25" t="str">
        <f ca="1">IFERROR(__xludf.DUMMYFUNCTION("""COMPUTED_VALUE"""),"RURAL")</f>
        <v>RURAL</v>
      </c>
      <c r="I688" s="25" t="str">
        <f ca="1">IFERROR(__xludf.DUMMYFUNCTION("""COMPUTED_VALUE"""),"Prioridad 5")</f>
        <v>Prioridad 5</v>
      </c>
      <c r="J688" s="43" t="s">
        <v>264</v>
      </c>
    </row>
    <row r="689" spans="2:10">
      <c r="B689" s="25" t="str">
        <f ca="1">IFERROR(__xludf.DUMMYFUNCTION("""COMPUTED_VALUE"""),"MUNICIPALIDAD DISTRITAL")</f>
        <v>MUNICIPALIDAD DISTRITAL</v>
      </c>
      <c r="C689" s="25" t="str">
        <f ca="1">IFERROR(__xludf.DUMMYFUNCTION("""COMPUTED_VALUE"""),"MUNICIPALIDAD DISTRITAL DE SAN SILVESTRE DE COCHAN")</f>
        <v>MUNICIPALIDAD DISTRITAL DE SAN SILVESTRE DE COCHAN</v>
      </c>
      <c r="D689" s="25" t="str">
        <f ca="1">IFERROR(__xludf.DUMMYFUNCTION("""COMPUTED_VALUE"""),"CAJAMARCA")</f>
        <v>CAJAMARCA</v>
      </c>
      <c r="E689" s="25" t="str">
        <f ca="1">IFERROR(__xludf.DUMMYFUNCTION("""COMPUTED_VALUE"""),"CAJAMARCA")</f>
        <v>CAJAMARCA</v>
      </c>
      <c r="F689" s="25" t="str">
        <f ca="1">IFERROR(__xludf.DUMMYFUNCTION("""COMPUTED_VALUE"""),"SAN MIGUEL")</f>
        <v>SAN MIGUEL</v>
      </c>
      <c r="G689" s="25" t="str">
        <f ca="1">IFERROR(__xludf.DUMMYFUNCTION("""COMPUTED_VALUE"""),"SAN SILVESTRE DE COCHAN")</f>
        <v>SAN SILVESTRE DE COCHAN</v>
      </c>
      <c r="H689" s="25" t="str">
        <f ca="1">IFERROR(__xludf.DUMMYFUNCTION("""COMPUTED_VALUE"""),"RURAL")</f>
        <v>RURAL</v>
      </c>
      <c r="I689" s="25" t="str">
        <f ca="1">IFERROR(__xludf.DUMMYFUNCTION("""COMPUTED_VALUE"""),"Prioridad 5")</f>
        <v>Prioridad 5</v>
      </c>
      <c r="J689" s="43" t="s">
        <v>264</v>
      </c>
    </row>
    <row r="690" spans="2:10">
      <c r="B690" s="25" t="str">
        <f ca="1">IFERROR(__xludf.DUMMYFUNCTION("""COMPUTED_VALUE"""),"MUNICIPALIDAD DISTRITAL")</f>
        <v>MUNICIPALIDAD DISTRITAL</v>
      </c>
      <c r="C690" s="25" t="str">
        <f ca="1">IFERROR(__xludf.DUMMYFUNCTION("""COMPUTED_VALUE"""),"MUNICIPALIDAD DISTRITAL DE TONGOD")</f>
        <v>MUNICIPALIDAD DISTRITAL DE TONGOD</v>
      </c>
      <c r="D690" s="25" t="str">
        <f ca="1">IFERROR(__xludf.DUMMYFUNCTION("""COMPUTED_VALUE"""),"CAJAMARCA")</f>
        <v>CAJAMARCA</v>
      </c>
      <c r="E690" s="25" t="str">
        <f ca="1">IFERROR(__xludf.DUMMYFUNCTION("""COMPUTED_VALUE"""),"CAJAMARCA")</f>
        <v>CAJAMARCA</v>
      </c>
      <c r="F690" s="25" t="str">
        <f ca="1">IFERROR(__xludf.DUMMYFUNCTION("""COMPUTED_VALUE"""),"SAN MIGUEL")</f>
        <v>SAN MIGUEL</v>
      </c>
      <c r="G690" s="25" t="str">
        <f ca="1">IFERROR(__xludf.DUMMYFUNCTION("""COMPUTED_VALUE"""),"TONGOD")</f>
        <v>TONGOD</v>
      </c>
      <c r="H690" s="25" t="str">
        <f ca="1">IFERROR(__xludf.DUMMYFUNCTION("""COMPUTED_VALUE"""),"RURAL")</f>
        <v>RURAL</v>
      </c>
      <c r="I690" s="25" t="str">
        <f ca="1">IFERROR(__xludf.DUMMYFUNCTION("""COMPUTED_VALUE"""),"Prioridad 5")</f>
        <v>Prioridad 5</v>
      </c>
      <c r="J690" s="43" t="s">
        <v>264</v>
      </c>
    </row>
    <row r="691" spans="2:10">
      <c r="B691" s="25" t="str">
        <f ca="1">IFERROR(__xludf.DUMMYFUNCTION("""COMPUTED_VALUE"""),"MUNICIPALIDAD DISTRITAL")</f>
        <v>MUNICIPALIDAD DISTRITAL</v>
      </c>
      <c r="C691" s="25" t="str">
        <f ca="1">IFERROR(__xludf.DUMMYFUNCTION("""COMPUTED_VALUE"""),"MUNICIPALIDAD DISTRITAL DE UNION AGUA BLANCA")</f>
        <v>MUNICIPALIDAD DISTRITAL DE UNION AGUA BLANCA</v>
      </c>
      <c r="D691" s="25" t="str">
        <f ca="1">IFERROR(__xludf.DUMMYFUNCTION("""COMPUTED_VALUE"""),"CAJAMARCA")</f>
        <v>CAJAMARCA</v>
      </c>
      <c r="E691" s="25" t="str">
        <f ca="1">IFERROR(__xludf.DUMMYFUNCTION("""COMPUTED_VALUE"""),"CAJAMARCA")</f>
        <v>CAJAMARCA</v>
      </c>
      <c r="F691" s="25" t="str">
        <f ca="1">IFERROR(__xludf.DUMMYFUNCTION("""COMPUTED_VALUE"""),"SAN MIGUEL")</f>
        <v>SAN MIGUEL</v>
      </c>
      <c r="G691" s="25" t="str">
        <f ca="1">IFERROR(__xludf.DUMMYFUNCTION("""COMPUTED_VALUE"""),"UNION AGUA BLANCA")</f>
        <v>UNION AGUA BLANCA</v>
      </c>
      <c r="H691" s="25" t="str">
        <f ca="1">IFERROR(__xludf.DUMMYFUNCTION("""COMPUTED_VALUE"""),"RURAL")</f>
        <v>RURAL</v>
      </c>
      <c r="I691" s="25" t="str">
        <f ca="1">IFERROR(__xludf.DUMMYFUNCTION("""COMPUTED_VALUE"""),"Prioridad 4")</f>
        <v>Prioridad 4</v>
      </c>
      <c r="J691" s="43" t="s">
        <v>264</v>
      </c>
    </row>
    <row r="692" spans="2:10">
      <c r="B692" s="25" t="str">
        <f ca="1">IFERROR(__xludf.DUMMYFUNCTION("""COMPUTED_VALUE"""),"MUNICIPALIDAD PROVINCIAL")</f>
        <v>MUNICIPALIDAD PROVINCIAL</v>
      </c>
      <c r="C692" s="25" t="str">
        <f ca="1">IFERROR(__xludf.DUMMYFUNCTION("""COMPUTED_VALUE"""),"MUNICIPALIDAD PROVINCIAL DE SAN PABLO")</f>
        <v>MUNICIPALIDAD PROVINCIAL DE SAN PABLO</v>
      </c>
      <c r="D692" s="25" t="str">
        <f ca="1">IFERROR(__xludf.DUMMYFUNCTION("""COMPUTED_VALUE"""),"CAJAMARCA")</f>
        <v>CAJAMARCA</v>
      </c>
      <c r="E692" s="25" t="str">
        <f ca="1">IFERROR(__xludf.DUMMYFUNCTION("""COMPUTED_VALUE"""),"CAJAMARCA")</f>
        <v>CAJAMARCA</v>
      </c>
      <c r="F692" s="25" t="str">
        <f ca="1">IFERROR(__xludf.DUMMYFUNCTION("""COMPUTED_VALUE"""),"SAN PABLO")</f>
        <v>SAN PABLO</v>
      </c>
      <c r="G692" s="25" t="str">
        <f ca="1">IFERROR(__xludf.DUMMYFUNCTION("""COMPUTED_VALUE"""),"SAN PABLO")</f>
        <v>SAN PABLO</v>
      </c>
      <c r="H692" s="25" t="str">
        <f ca="1">IFERROR(__xludf.DUMMYFUNCTION("""COMPUTED_VALUE"""),"RURAL")</f>
        <v>RURAL</v>
      </c>
      <c r="I692" s="25" t="str">
        <f ca="1">IFERROR(__xludf.DUMMYFUNCTION("""COMPUTED_VALUE"""),"Prioridad 2")</f>
        <v>Prioridad 2</v>
      </c>
      <c r="J692" s="43" t="s">
        <v>264</v>
      </c>
    </row>
    <row r="693" spans="2:10">
      <c r="B693" s="25" t="str">
        <f ca="1">IFERROR(__xludf.DUMMYFUNCTION("""COMPUTED_VALUE"""),"MUNICIPALIDAD DISTRITAL")</f>
        <v>MUNICIPALIDAD DISTRITAL</v>
      </c>
      <c r="C693" s="25" t="str">
        <f ca="1">IFERROR(__xludf.DUMMYFUNCTION("""COMPUTED_VALUE"""),"MUNICIPALIDAD DISTRITAL DE SAN BERNARDINO")</f>
        <v>MUNICIPALIDAD DISTRITAL DE SAN BERNARDINO</v>
      </c>
      <c r="D693" s="25" t="str">
        <f ca="1">IFERROR(__xludf.DUMMYFUNCTION("""COMPUTED_VALUE"""),"CAJAMARCA")</f>
        <v>CAJAMARCA</v>
      </c>
      <c r="E693" s="25" t="str">
        <f ca="1">IFERROR(__xludf.DUMMYFUNCTION("""COMPUTED_VALUE"""),"CAJAMARCA")</f>
        <v>CAJAMARCA</v>
      </c>
      <c r="F693" s="25" t="str">
        <f ca="1">IFERROR(__xludf.DUMMYFUNCTION("""COMPUTED_VALUE"""),"SAN PABLO")</f>
        <v>SAN PABLO</v>
      </c>
      <c r="G693" s="25" t="str">
        <f ca="1">IFERROR(__xludf.DUMMYFUNCTION("""COMPUTED_VALUE"""),"SAN BERNARDINO")</f>
        <v>SAN BERNARDINO</v>
      </c>
      <c r="H693" s="25" t="str">
        <f ca="1">IFERROR(__xludf.DUMMYFUNCTION("""COMPUTED_VALUE"""),"RURAL")</f>
        <v>RURAL</v>
      </c>
      <c r="I693" s="25" t="str">
        <f ca="1">IFERROR(__xludf.DUMMYFUNCTION("""COMPUTED_VALUE"""),"Prioridad 5")</f>
        <v>Prioridad 5</v>
      </c>
      <c r="J693" s="43" t="s">
        <v>264</v>
      </c>
    </row>
    <row r="694" spans="2:10">
      <c r="B694" s="25" t="str">
        <f ca="1">IFERROR(__xludf.DUMMYFUNCTION("""COMPUTED_VALUE"""),"MUNICIPALIDAD DISTRITAL")</f>
        <v>MUNICIPALIDAD DISTRITAL</v>
      </c>
      <c r="C694" s="25" t="str">
        <f ca="1">IFERROR(__xludf.DUMMYFUNCTION("""COMPUTED_VALUE"""),"MUNICIPALIDAD DISTRITAL DE SAN LUIS EN SAN PABLO")</f>
        <v>MUNICIPALIDAD DISTRITAL DE SAN LUIS EN SAN PABLO</v>
      </c>
      <c r="D694" s="25" t="str">
        <f ca="1">IFERROR(__xludf.DUMMYFUNCTION("""COMPUTED_VALUE"""),"CAJAMARCA")</f>
        <v>CAJAMARCA</v>
      </c>
      <c r="E694" s="25" t="str">
        <f ca="1">IFERROR(__xludf.DUMMYFUNCTION("""COMPUTED_VALUE"""),"CAJAMARCA")</f>
        <v>CAJAMARCA</v>
      </c>
      <c r="F694" s="25" t="str">
        <f ca="1">IFERROR(__xludf.DUMMYFUNCTION("""COMPUTED_VALUE"""),"SAN PABLO")</f>
        <v>SAN PABLO</v>
      </c>
      <c r="G694" s="25" t="str">
        <f ca="1">IFERROR(__xludf.DUMMYFUNCTION("""COMPUTED_VALUE"""),"SAN LUIS")</f>
        <v>SAN LUIS</v>
      </c>
      <c r="H694" s="25" t="str">
        <f ca="1">IFERROR(__xludf.DUMMYFUNCTION("""COMPUTED_VALUE"""),"RURAL")</f>
        <v>RURAL</v>
      </c>
      <c r="I694" s="25" t="str">
        <f ca="1">IFERROR(__xludf.DUMMYFUNCTION("""COMPUTED_VALUE"""),"Prioridad 5")</f>
        <v>Prioridad 5</v>
      </c>
      <c r="J694" s="43" t="s">
        <v>264</v>
      </c>
    </row>
    <row r="695" spans="2:10">
      <c r="B695" s="25" t="str">
        <f ca="1">IFERROR(__xludf.DUMMYFUNCTION("""COMPUTED_VALUE"""),"MUNICIPALIDAD DISTRITAL")</f>
        <v>MUNICIPALIDAD DISTRITAL</v>
      </c>
      <c r="C695" s="25" t="str">
        <f ca="1">IFERROR(__xludf.DUMMYFUNCTION("""COMPUTED_VALUE"""),"MUNICIPALIDAD DISTRITAL DE TUMBADEN")</f>
        <v>MUNICIPALIDAD DISTRITAL DE TUMBADEN</v>
      </c>
      <c r="D695" s="25" t="str">
        <f ca="1">IFERROR(__xludf.DUMMYFUNCTION("""COMPUTED_VALUE"""),"CAJAMARCA")</f>
        <v>CAJAMARCA</v>
      </c>
      <c r="E695" s="25" t="str">
        <f ca="1">IFERROR(__xludf.DUMMYFUNCTION("""COMPUTED_VALUE"""),"CAJAMARCA")</f>
        <v>CAJAMARCA</v>
      </c>
      <c r="F695" s="25" t="str">
        <f ca="1">IFERROR(__xludf.DUMMYFUNCTION("""COMPUTED_VALUE"""),"SAN PABLO")</f>
        <v>SAN PABLO</v>
      </c>
      <c r="G695" s="25" t="str">
        <f ca="1">IFERROR(__xludf.DUMMYFUNCTION("""COMPUTED_VALUE"""),"TUMBADEN")</f>
        <v>TUMBADEN</v>
      </c>
      <c r="H695" s="25" t="str">
        <f ca="1">IFERROR(__xludf.DUMMYFUNCTION("""COMPUTED_VALUE"""),"RURAL")</f>
        <v>RURAL</v>
      </c>
      <c r="I695" s="25" t="str">
        <f ca="1">IFERROR(__xludf.DUMMYFUNCTION("""COMPUTED_VALUE"""),"Prioridad 5")</f>
        <v>Prioridad 5</v>
      </c>
      <c r="J695" s="43" t="s">
        <v>264</v>
      </c>
    </row>
    <row r="696" spans="2:10">
      <c r="B696" s="25" t="str">
        <f ca="1">IFERROR(__xludf.DUMMYFUNCTION("""COMPUTED_VALUE"""),"MUNICIPALIDAD PROVINCIAL")</f>
        <v>MUNICIPALIDAD PROVINCIAL</v>
      </c>
      <c r="C696" s="25" t="str">
        <f ca="1">IFERROR(__xludf.DUMMYFUNCTION("""COMPUTED_VALUE"""),"MUNICIPALIDAD PROVINCIAL DE SANTA CRUZ")</f>
        <v>MUNICIPALIDAD PROVINCIAL DE SANTA CRUZ</v>
      </c>
      <c r="D696" s="25" t="str">
        <f ca="1">IFERROR(__xludf.DUMMYFUNCTION("""COMPUTED_VALUE"""),"CAJAMARCA")</f>
        <v>CAJAMARCA</v>
      </c>
      <c r="E696" s="25" t="str">
        <f ca="1">IFERROR(__xludf.DUMMYFUNCTION("""COMPUTED_VALUE"""),"CAJAMARCA")</f>
        <v>CAJAMARCA</v>
      </c>
      <c r="F696" s="25" t="str">
        <f ca="1">IFERROR(__xludf.DUMMYFUNCTION("""COMPUTED_VALUE"""),"SANTA CRUZ")</f>
        <v>SANTA CRUZ</v>
      </c>
      <c r="G696" s="25" t="str">
        <f ca="1">IFERROR(__xludf.DUMMYFUNCTION("""COMPUTED_VALUE"""),"SANTA CRUZ")</f>
        <v>SANTA CRUZ</v>
      </c>
      <c r="H696" s="25" t="str">
        <f ca="1">IFERROR(__xludf.DUMMYFUNCTION("""COMPUTED_VALUE"""),"URBANO")</f>
        <v>URBANO</v>
      </c>
      <c r="I696" s="25" t="str">
        <f ca="1">IFERROR(__xludf.DUMMYFUNCTION("""COMPUTED_VALUE"""),"Prioridad 2")</f>
        <v>Prioridad 2</v>
      </c>
      <c r="J696" s="43" t="s">
        <v>264</v>
      </c>
    </row>
    <row r="697" spans="2:10" ht="15.75" customHeight="1">
      <c r="B697" s="25" t="str">
        <f ca="1">IFERROR(__xludf.DUMMYFUNCTION("""COMPUTED_VALUE"""),"MUNICIPALIDAD DISTRITAL")</f>
        <v>MUNICIPALIDAD DISTRITAL</v>
      </c>
      <c r="C697" s="25" t="str">
        <f ca="1">IFERROR(__xludf.DUMMYFUNCTION("""COMPUTED_VALUE"""),"MUNICIPALIDAD DISTRITAL DE SEXI")</f>
        <v>MUNICIPALIDAD DISTRITAL DE SEXI</v>
      </c>
      <c r="D697" s="25" t="str">
        <f ca="1">IFERROR(__xludf.DUMMYFUNCTION("""COMPUTED_VALUE"""),"CAJAMARCA")</f>
        <v>CAJAMARCA</v>
      </c>
      <c r="E697" s="25" t="str">
        <f ca="1">IFERROR(__xludf.DUMMYFUNCTION("""COMPUTED_VALUE"""),"CAJAMARCA")</f>
        <v>CAJAMARCA</v>
      </c>
      <c r="F697" s="25" t="str">
        <f ca="1">IFERROR(__xludf.DUMMYFUNCTION("""COMPUTED_VALUE"""),"SANTA CRUZ")</f>
        <v>SANTA CRUZ</v>
      </c>
      <c r="G697" s="25" t="str">
        <f ca="1">IFERROR(__xludf.DUMMYFUNCTION("""COMPUTED_VALUE"""),"SEXI")</f>
        <v>SEXI</v>
      </c>
      <c r="H697" s="25" t="str">
        <f ca="1">IFERROR(__xludf.DUMMYFUNCTION("""COMPUTED_VALUE"""),"RURAL")</f>
        <v>RURAL</v>
      </c>
      <c r="I697" s="25" t="str">
        <f ca="1">IFERROR(__xludf.DUMMYFUNCTION("""COMPUTED_VALUE"""),"Prioridad 5")</f>
        <v>Prioridad 5</v>
      </c>
      <c r="J697" s="45"/>
    </row>
    <row r="698" spans="2:10" ht="15.75" customHeight="1">
      <c r="B698" s="25" t="str">
        <f ca="1">IFERROR(__xludf.DUMMYFUNCTION("""COMPUTED_VALUE"""),"MUNICIPALIDAD DISTRITAL")</f>
        <v>MUNICIPALIDAD DISTRITAL</v>
      </c>
      <c r="C698" s="25" t="str">
        <f ca="1">IFERROR(__xludf.DUMMYFUNCTION("""COMPUTED_VALUE"""),"MUNICIPALIDAD DISTRITAL DE ANDABAMBA EN SANTA CRUZ")</f>
        <v>MUNICIPALIDAD DISTRITAL DE ANDABAMBA EN SANTA CRUZ</v>
      </c>
      <c r="D698" s="25" t="str">
        <f ca="1">IFERROR(__xludf.DUMMYFUNCTION("""COMPUTED_VALUE"""),"CAJAMARCA")</f>
        <v>CAJAMARCA</v>
      </c>
      <c r="E698" s="25" t="str">
        <f ca="1">IFERROR(__xludf.DUMMYFUNCTION("""COMPUTED_VALUE"""),"CAJAMARCA")</f>
        <v>CAJAMARCA</v>
      </c>
      <c r="F698" s="25" t="str">
        <f ca="1">IFERROR(__xludf.DUMMYFUNCTION("""COMPUTED_VALUE"""),"SANTA CRUZ")</f>
        <v>SANTA CRUZ</v>
      </c>
      <c r="G698" s="25" t="str">
        <f ca="1">IFERROR(__xludf.DUMMYFUNCTION("""COMPUTED_VALUE"""),"ANDABAMBA")</f>
        <v>ANDABAMBA</v>
      </c>
      <c r="H698" s="25" t="str">
        <f ca="1">IFERROR(__xludf.DUMMYFUNCTION("""COMPUTED_VALUE"""),"RURAL")</f>
        <v>RURAL</v>
      </c>
      <c r="I698" s="25" t="str">
        <f ca="1">IFERROR(__xludf.DUMMYFUNCTION("""COMPUTED_VALUE"""),"Prioridad 5")</f>
        <v>Prioridad 5</v>
      </c>
      <c r="J698" s="45"/>
    </row>
    <row r="699" spans="2:10" ht="15.75" customHeight="1">
      <c r="B699" s="25" t="str">
        <f ca="1">IFERROR(__xludf.DUMMYFUNCTION("""COMPUTED_VALUE"""),"MUNICIPALIDAD DISTRITAL")</f>
        <v>MUNICIPALIDAD DISTRITAL</v>
      </c>
      <c r="C699" s="25" t="str">
        <f ca="1">IFERROR(__xludf.DUMMYFUNCTION("""COMPUTED_VALUE"""),"MUNICIPALIDAD DISTRITAL DE CATACHE")</f>
        <v>MUNICIPALIDAD DISTRITAL DE CATACHE</v>
      </c>
      <c r="D699" s="25" t="str">
        <f ca="1">IFERROR(__xludf.DUMMYFUNCTION("""COMPUTED_VALUE"""),"CAJAMARCA")</f>
        <v>CAJAMARCA</v>
      </c>
      <c r="E699" s="25" t="str">
        <f ca="1">IFERROR(__xludf.DUMMYFUNCTION("""COMPUTED_VALUE"""),"CAJAMARCA")</f>
        <v>CAJAMARCA</v>
      </c>
      <c r="F699" s="25" t="str">
        <f ca="1">IFERROR(__xludf.DUMMYFUNCTION("""COMPUTED_VALUE"""),"SANTA CRUZ")</f>
        <v>SANTA CRUZ</v>
      </c>
      <c r="G699" s="25" t="str">
        <f ca="1">IFERROR(__xludf.DUMMYFUNCTION("""COMPUTED_VALUE"""),"CATACHE")</f>
        <v>CATACHE</v>
      </c>
      <c r="H699" s="25" t="str">
        <f ca="1">IFERROR(__xludf.DUMMYFUNCTION("""COMPUTED_VALUE"""),"RURAL")</f>
        <v>RURAL</v>
      </c>
      <c r="I699" s="25" t="str">
        <f ca="1">IFERROR(__xludf.DUMMYFUNCTION("""COMPUTED_VALUE"""),"Prioridad 5")</f>
        <v>Prioridad 5</v>
      </c>
      <c r="J699" s="45"/>
    </row>
    <row r="700" spans="2:10" ht="15.75" customHeight="1">
      <c r="B700" s="25" t="str">
        <f ca="1">IFERROR(__xludf.DUMMYFUNCTION("""COMPUTED_VALUE"""),"MUNICIPALIDAD DISTRITAL")</f>
        <v>MUNICIPALIDAD DISTRITAL</v>
      </c>
      <c r="C700" s="25" t="str">
        <f ca="1">IFERROR(__xludf.DUMMYFUNCTION("""COMPUTED_VALUE"""),"MUNICIPALIDAD DISTRITAL DE CHANCAYBAÑOS")</f>
        <v>MUNICIPALIDAD DISTRITAL DE CHANCAYBAÑOS</v>
      </c>
      <c r="D700" s="25" t="str">
        <f ca="1">IFERROR(__xludf.DUMMYFUNCTION("""COMPUTED_VALUE"""),"CAJAMARCA")</f>
        <v>CAJAMARCA</v>
      </c>
      <c r="E700" s="25" t="str">
        <f ca="1">IFERROR(__xludf.DUMMYFUNCTION("""COMPUTED_VALUE"""),"CAJAMARCA")</f>
        <v>CAJAMARCA</v>
      </c>
      <c r="F700" s="25" t="str">
        <f ca="1">IFERROR(__xludf.DUMMYFUNCTION("""COMPUTED_VALUE"""),"SANTA CRUZ")</f>
        <v>SANTA CRUZ</v>
      </c>
      <c r="G700" s="25" t="str">
        <f ca="1">IFERROR(__xludf.DUMMYFUNCTION("""COMPUTED_VALUE"""),"CHANCAYBAÑOS")</f>
        <v>CHANCAYBAÑOS</v>
      </c>
      <c r="H700" s="25" t="str">
        <f ca="1">IFERROR(__xludf.DUMMYFUNCTION("""COMPUTED_VALUE"""),"RURAL")</f>
        <v>RURAL</v>
      </c>
      <c r="I700" s="25" t="str">
        <f ca="1">IFERROR(__xludf.DUMMYFUNCTION("""COMPUTED_VALUE"""),"Prioridad 5")</f>
        <v>Prioridad 5</v>
      </c>
      <c r="J700" s="45"/>
    </row>
    <row r="701" spans="2:10" ht="15.75" customHeight="1">
      <c r="B701" s="25" t="str">
        <f ca="1">IFERROR(__xludf.DUMMYFUNCTION("""COMPUTED_VALUE"""),"MUNICIPALIDAD DISTRITAL")</f>
        <v>MUNICIPALIDAD DISTRITAL</v>
      </c>
      <c r="C701" s="25" t="str">
        <f ca="1">IFERROR(__xludf.DUMMYFUNCTION("""COMPUTED_VALUE"""),"MUNICIPALIDAD DISTRITAL DE LA ESPERANZA EN SANTA CRUZ")</f>
        <v>MUNICIPALIDAD DISTRITAL DE LA ESPERANZA EN SANTA CRUZ</v>
      </c>
      <c r="D701" s="25" t="str">
        <f ca="1">IFERROR(__xludf.DUMMYFUNCTION("""COMPUTED_VALUE"""),"CAJAMARCA")</f>
        <v>CAJAMARCA</v>
      </c>
      <c r="E701" s="25" t="str">
        <f ca="1">IFERROR(__xludf.DUMMYFUNCTION("""COMPUTED_VALUE"""),"CAJAMARCA")</f>
        <v>CAJAMARCA</v>
      </c>
      <c r="F701" s="25" t="str">
        <f ca="1">IFERROR(__xludf.DUMMYFUNCTION("""COMPUTED_VALUE"""),"SANTA CRUZ")</f>
        <v>SANTA CRUZ</v>
      </c>
      <c r="G701" s="25" t="str">
        <f ca="1">IFERROR(__xludf.DUMMYFUNCTION("""COMPUTED_VALUE"""),"LA ESPERANZA")</f>
        <v>LA ESPERANZA</v>
      </c>
      <c r="H701" s="25" t="str">
        <f ca="1">IFERROR(__xludf.DUMMYFUNCTION("""COMPUTED_VALUE"""),"RURAL")</f>
        <v>RURAL</v>
      </c>
      <c r="I701" s="25" t="str">
        <f ca="1">IFERROR(__xludf.DUMMYFUNCTION("""COMPUTED_VALUE"""),"Prioridad 5")</f>
        <v>Prioridad 5</v>
      </c>
      <c r="J701" s="45"/>
    </row>
    <row r="702" spans="2:10" ht="15.75" customHeight="1">
      <c r="B702" s="25" t="str">
        <f ca="1">IFERROR(__xludf.DUMMYFUNCTION("""COMPUTED_VALUE"""),"MUNICIPALIDAD DISTRITAL")</f>
        <v>MUNICIPALIDAD DISTRITAL</v>
      </c>
      <c r="C702" s="25" t="str">
        <f ca="1">IFERROR(__xludf.DUMMYFUNCTION("""COMPUTED_VALUE"""),"MUNICIPALIDAD DISTRITAL DE NINABAMBA")</f>
        <v>MUNICIPALIDAD DISTRITAL DE NINABAMBA</v>
      </c>
      <c r="D702" s="25" t="str">
        <f ca="1">IFERROR(__xludf.DUMMYFUNCTION("""COMPUTED_VALUE"""),"CAJAMARCA")</f>
        <v>CAJAMARCA</v>
      </c>
      <c r="E702" s="25" t="str">
        <f ca="1">IFERROR(__xludf.DUMMYFUNCTION("""COMPUTED_VALUE"""),"CAJAMARCA")</f>
        <v>CAJAMARCA</v>
      </c>
      <c r="F702" s="25" t="str">
        <f ca="1">IFERROR(__xludf.DUMMYFUNCTION("""COMPUTED_VALUE"""),"SANTA CRUZ")</f>
        <v>SANTA CRUZ</v>
      </c>
      <c r="G702" s="25" t="str">
        <f ca="1">IFERROR(__xludf.DUMMYFUNCTION("""COMPUTED_VALUE"""),"NINABAMBA")</f>
        <v>NINABAMBA</v>
      </c>
      <c r="H702" s="25" t="str">
        <f ca="1">IFERROR(__xludf.DUMMYFUNCTION("""COMPUTED_VALUE"""),"RURAL")</f>
        <v>RURAL</v>
      </c>
      <c r="I702" s="25" t="str">
        <f ca="1">IFERROR(__xludf.DUMMYFUNCTION("""COMPUTED_VALUE"""),"Prioridad 5")</f>
        <v>Prioridad 5</v>
      </c>
      <c r="J702" s="45"/>
    </row>
    <row r="703" spans="2:10" ht="15.75" customHeight="1">
      <c r="B703" s="25" t="str">
        <f ca="1">IFERROR(__xludf.DUMMYFUNCTION("""COMPUTED_VALUE"""),"MUNICIPALIDAD DISTRITAL")</f>
        <v>MUNICIPALIDAD DISTRITAL</v>
      </c>
      <c r="C703" s="25" t="str">
        <f ca="1">IFERROR(__xludf.DUMMYFUNCTION("""COMPUTED_VALUE"""),"MUNICIPALIDAD DISTRITAL DE PULAN")</f>
        <v>MUNICIPALIDAD DISTRITAL DE PULAN</v>
      </c>
      <c r="D703" s="25" t="str">
        <f ca="1">IFERROR(__xludf.DUMMYFUNCTION("""COMPUTED_VALUE"""),"CAJAMARCA")</f>
        <v>CAJAMARCA</v>
      </c>
      <c r="E703" s="25" t="str">
        <f ca="1">IFERROR(__xludf.DUMMYFUNCTION("""COMPUTED_VALUE"""),"CAJAMARCA")</f>
        <v>CAJAMARCA</v>
      </c>
      <c r="F703" s="25" t="str">
        <f ca="1">IFERROR(__xludf.DUMMYFUNCTION("""COMPUTED_VALUE"""),"SANTA CRUZ")</f>
        <v>SANTA CRUZ</v>
      </c>
      <c r="G703" s="25" t="str">
        <f ca="1">IFERROR(__xludf.DUMMYFUNCTION("""COMPUTED_VALUE"""),"PULAN")</f>
        <v>PULAN</v>
      </c>
      <c r="H703" s="25" t="str">
        <f ca="1">IFERROR(__xludf.DUMMYFUNCTION("""COMPUTED_VALUE"""),"RURAL")</f>
        <v>RURAL</v>
      </c>
      <c r="I703" s="25" t="str">
        <f ca="1">IFERROR(__xludf.DUMMYFUNCTION("""COMPUTED_VALUE"""),"Prioridad 5")</f>
        <v>Prioridad 5</v>
      </c>
      <c r="J703" s="45"/>
    </row>
    <row r="704" spans="2:10" ht="15.75" customHeight="1">
      <c r="B704" s="25" t="str">
        <f ca="1">IFERROR(__xludf.DUMMYFUNCTION("""COMPUTED_VALUE"""),"MUNICIPALIDAD DISTRITAL")</f>
        <v>MUNICIPALIDAD DISTRITAL</v>
      </c>
      <c r="C704" s="25" t="str">
        <f ca="1">IFERROR(__xludf.DUMMYFUNCTION("""COMPUTED_VALUE"""),"MUNICIPALIDAD DISTRITAL DE SAUCEPAMPA")</f>
        <v>MUNICIPALIDAD DISTRITAL DE SAUCEPAMPA</v>
      </c>
      <c r="D704" s="25" t="str">
        <f ca="1">IFERROR(__xludf.DUMMYFUNCTION("""COMPUTED_VALUE"""),"CAJAMARCA")</f>
        <v>CAJAMARCA</v>
      </c>
      <c r="E704" s="25" t="str">
        <f ca="1">IFERROR(__xludf.DUMMYFUNCTION("""COMPUTED_VALUE"""),"CAJAMARCA")</f>
        <v>CAJAMARCA</v>
      </c>
      <c r="F704" s="25" t="str">
        <f ca="1">IFERROR(__xludf.DUMMYFUNCTION("""COMPUTED_VALUE"""),"SANTA CRUZ")</f>
        <v>SANTA CRUZ</v>
      </c>
      <c r="G704" s="25" t="str">
        <f ca="1">IFERROR(__xludf.DUMMYFUNCTION("""COMPUTED_VALUE"""),"SAUCEPAMPA")</f>
        <v>SAUCEPAMPA</v>
      </c>
      <c r="H704" s="25" t="str">
        <f ca="1">IFERROR(__xludf.DUMMYFUNCTION("""COMPUTED_VALUE"""),"RURAL")</f>
        <v>RURAL</v>
      </c>
      <c r="I704" s="25" t="str">
        <f ca="1">IFERROR(__xludf.DUMMYFUNCTION("""COMPUTED_VALUE"""),"Prioridad 5")</f>
        <v>Prioridad 5</v>
      </c>
      <c r="J704" s="45"/>
    </row>
    <row r="705" spans="2:10">
      <c r="B705" s="25" t="str">
        <f ca="1">IFERROR(__xludf.DUMMYFUNCTION("""COMPUTED_VALUE"""),"MUNICIPALIDAD DISTRITAL")</f>
        <v>MUNICIPALIDAD DISTRITAL</v>
      </c>
      <c r="C705" s="25" t="str">
        <f ca="1">IFERROR(__xludf.DUMMYFUNCTION("""COMPUTED_VALUE"""),"MUNICIPALIDAD DISTRITAL DE UTICYACU")</f>
        <v>MUNICIPALIDAD DISTRITAL DE UTICYACU</v>
      </c>
      <c r="D705" s="25" t="str">
        <f ca="1">IFERROR(__xludf.DUMMYFUNCTION("""COMPUTED_VALUE"""),"CAJAMARCA")</f>
        <v>CAJAMARCA</v>
      </c>
      <c r="E705" s="25" t="str">
        <f ca="1">IFERROR(__xludf.DUMMYFUNCTION("""COMPUTED_VALUE"""),"CAJAMARCA")</f>
        <v>CAJAMARCA</v>
      </c>
      <c r="F705" s="25" t="str">
        <f ca="1">IFERROR(__xludf.DUMMYFUNCTION("""COMPUTED_VALUE"""),"SANTA CRUZ")</f>
        <v>SANTA CRUZ</v>
      </c>
      <c r="G705" s="25" t="str">
        <f ca="1">IFERROR(__xludf.DUMMYFUNCTION("""COMPUTED_VALUE"""),"UTICYACU")</f>
        <v>UTICYACU</v>
      </c>
      <c r="H705" s="25" t="str">
        <f ca="1">IFERROR(__xludf.DUMMYFUNCTION("""COMPUTED_VALUE"""),"RURAL")</f>
        <v>RURAL</v>
      </c>
      <c r="I705" s="25" t="str">
        <f ca="1">IFERROR(__xludf.DUMMYFUNCTION("""COMPUTED_VALUE"""),"Prioridad 5")</f>
        <v>Prioridad 5</v>
      </c>
      <c r="J705" s="43" t="s">
        <v>262</v>
      </c>
    </row>
    <row r="706" spans="2:10">
      <c r="B706" s="25" t="str">
        <f ca="1">IFERROR(__xludf.DUMMYFUNCTION("""COMPUTED_VALUE"""),"MUNICIPALIDAD DISTRITAL")</f>
        <v>MUNICIPALIDAD DISTRITAL</v>
      </c>
      <c r="C706" s="25" t="str">
        <f ca="1">IFERROR(__xludf.DUMMYFUNCTION("""COMPUTED_VALUE"""),"MUNICIPALIDAD DISTRITAL DE YAUYUCAN")</f>
        <v>MUNICIPALIDAD DISTRITAL DE YAUYUCAN</v>
      </c>
      <c r="D706" s="25" t="str">
        <f ca="1">IFERROR(__xludf.DUMMYFUNCTION("""COMPUTED_VALUE"""),"CAJAMARCA")</f>
        <v>CAJAMARCA</v>
      </c>
      <c r="E706" s="25" t="str">
        <f ca="1">IFERROR(__xludf.DUMMYFUNCTION("""COMPUTED_VALUE"""),"CAJAMARCA")</f>
        <v>CAJAMARCA</v>
      </c>
      <c r="F706" s="25" t="str">
        <f ca="1">IFERROR(__xludf.DUMMYFUNCTION("""COMPUTED_VALUE"""),"SANTA CRUZ")</f>
        <v>SANTA CRUZ</v>
      </c>
      <c r="G706" s="25" t="str">
        <f ca="1">IFERROR(__xludf.DUMMYFUNCTION("""COMPUTED_VALUE"""),"YAUYUCAN")</f>
        <v>YAUYUCAN</v>
      </c>
      <c r="H706" s="25" t="str">
        <f ca="1">IFERROR(__xludf.DUMMYFUNCTION("""COMPUTED_VALUE"""),"RURAL")</f>
        <v>RURAL</v>
      </c>
      <c r="I706" s="25" t="str">
        <f ca="1">IFERROR(__xludf.DUMMYFUNCTION("""COMPUTED_VALUE"""),"Prioridad 5")</f>
        <v>Prioridad 5</v>
      </c>
      <c r="J706" s="43" t="s">
        <v>262</v>
      </c>
    </row>
    <row r="707" spans="2:10">
      <c r="B707" s="25" t="str">
        <f ca="1">IFERROR(__xludf.DUMMYFUNCTION("""COMPUTED_VALUE"""),"MUNICIPALIDAD PROVINCIAL")</f>
        <v>MUNICIPALIDAD PROVINCIAL</v>
      </c>
      <c r="C707" s="25" t="str">
        <f ca="1">IFERROR(__xludf.DUMMYFUNCTION("""COMPUTED_VALUE"""),"MUNICIPALIDAD PROVINCIAL DE CALLAO")</f>
        <v>MUNICIPALIDAD PROVINCIAL DE CALLAO</v>
      </c>
      <c r="D707" s="25" t="str">
        <f ca="1">IFERROR(__xludf.DUMMYFUNCTION("""COMPUTED_VALUE"""),"SEDE CENTRAL")</f>
        <v>SEDE CENTRAL</v>
      </c>
      <c r="E707" s="25" t="str">
        <f ca="1">IFERROR(__xludf.DUMMYFUNCTION("""COMPUTED_VALUE"""),"CALLAO")</f>
        <v>CALLAO</v>
      </c>
      <c r="F707" s="25" t="str">
        <f ca="1">IFERROR(__xludf.DUMMYFUNCTION("""COMPUTED_VALUE"""),"CALLAO")</f>
        <v>CALLAO</v>
      </c>
      <c r="G707" s="25" t="str">
        <f ca="1">IFERROR(__xludf.DUMMYFUNCTION("""COMPUTED_VALUE"""),"CALLAO")</f>
        <v>CALLAO</v>
      </c>
      <c r="H707" s="25" t="str">
        <f ca="1">IFERROR(__xludf.DUMMYFUNCTION("""COMPUTED_VALUE"""),"URBANO")</f>
        <v>URBANO</v>
      </c>
      <c r="I707" s="25" t="str">
        <f ca="1">IFERROR(__xludf.DUMMYFUNCTION("""COMPUTED_VALUE"""),"Prioridad 1")</f>
        <v>Prioridad 1</v>
      </c>
      <c r="J707" s="43" t="s">
        <v>262</v>
      </c>
    </row>
    <row r="708" spans="2:10">
      <c r="B708" s="25" t="str">
        <f ca="1">IFERROR(__xludf.DUMMYFUNCTION("""COMPUTED_VALUE"""),"MUNICIPALIDAD DISTRITAL")</f>
        <v>MUNICIPALIDAD DISTRITAL</v>
      </c>
      <c r="C708" s="25" t="str">
        <f ca="1">IFERROR(__xludf.DUMMYFUNCTION("""COMPUTED_VALUE"""),"MUNICIPALIDAD DISTRITAL DE BELLAVISTA EN CALLAO")</f>
        <v>MUNICIPALIDAD DISTRITAL DE BELLAVISTA EN CALLAO</v>
      </c>
      <c r="D708" s="25" t="str">
        <f ca="1">IFERROR(__xludf.DUMMYFUNCTION("""COMPUTED_VALUE"""),"SEDE CENTRAL")</f>
        <v>SEDE CENTRAL</v>
      </c>
      <c r="E708" s="25" t="str">
        <f ca="1">IFERROR(__xludf.DUMMYFUNCTION("""COMPUTED_VALUE"""),"CALLAO")</f>
        <v>CALLAO</v>
      </c>
      <c r="F708" s="25" t="str">
        <f ca="1">IFERROR(__xludf.DUMMYFUNCTION("""COMPUTED_VALUE"""),"CALLAO")</f>
        <v>CALLAO</v>
      </c>
      <c r="G708" s="25" t="str">
        <f ca="1">IFERROR(__xludf.DUMMYFUNCTION("""COMPUTED_VALUE"""),"BELLAVISTA")</f>
        <v>BELLAVISTA</v>
      </c>
      <c r="H708" s="25" t="str">
        <f ca="1">IFERROR(__xludf.DUMMYFUNCTION("""COMPUTED_VALUE"""),"URBANO")</f>
        <v>URBANO</v>
      </c>
      <c r="I708" s="25" t="str">
        <f ca="1">IFERROR(__xludf.DUMMYFUNCTION("""COMPUTED_VALUE"""),"Prioridad 1")</f>
        <v>Prioridad 1</v>
      </c>
      <c r="J708" s="43" t="s">
        <v>262</v>
      </c>
    </row>
    <row r="709" spans="2:10">
      <c r="B709" s="25" t="str">
        <f ca="1">IFERROR(__xludf.DUMMYFUNCTION("""COMPUTED_VALUE"""),"MUNICIPALIDAD DISTRITAL")</f>
        <v>MUNICIPALIDAD DISTRITAL</v>
      </c>
      <c r="C709" s="25" t="str">
        <f ca="1">IFERROR(__xludf.DUMMYFUNCTION("""COMPUTED_VALUE"""),"MUNICIPALIDAD DISTRITAL DE CARMEN DE LA LEGUA REYNOSO")</f>
        <v>MUNICIPALIDAD DISTRITAL DE CARMEN DE LA LEGUA REYNOSO</v>
      </c>
      <c r="D709" s="25" t="str">
        <f ca="1">IFERROR(__xludf.DUMMYFUNCTION("""COMPUTED_VALUE"""),"SEDE CENTRAL")</f>
        <v>SEDE CENTRAL</v>
      </c>
      <c r="E709" s="25" t="str">
        <f ca="1">IFERROR(__xludf.DUMMYFUNCTION("""COMPUTED_VALUE"""),"CALLAO")</f>
        <v>CALLAO</v>
      </c>
      <c r="F709" s="25" t="str">
        <f ca="1">IFERROR(__xludf.DUMMYFUNCTION("""COMPUTED_VALUE"""),"CALLAO")</f>
        <v>CALLAO</v>
      </c>
      <c r="G709" s="25" t="str">
        <f ca="1">IFERROR(__xludf.DUMMYFUNCTION("""COMPUTED_VALUE"""),"CARMEN DE LA LEGUA REYNOSO")</f>
        <v>CARMEN DE LA LEGUA REYNOSO</v>
      </c>
      <c r="H709" s="25" t="str">
        <f ca="1">IFERROR(__xludf.DUMMYFUNCTION("""COMPUTED_VALUE"""),"URBANO")</f>
        <v>URBANO</v>
      </c>
      <c r="I709" s="25" t="str">
        <f ca="1">IFERROR(__xludf.DUMMYFUNCTION("""COMPUTED_VALUE"""),"Prioridad 1")</f>
        <v>Prioridad 1</v>
      </c>
      <c r="J709" s="43" t="s">
        <v>262</v>
      </c>
    </row>
    <row r="710" spans="2:10">
      <c r="B710" s="25" t="str">
        <f ca="1">IFERROR(__xludf.DUMMYFUNCTION("""COMPUTED_VALUE"""),"MUNICIPALIDAD DISTRITAL")</f>
        <v>MUNICIPALIDAD DISTRITAL</v>
      </c>
      <c r="C710" s="25" t="str">
        <f ca="1">IFERROR(__xludf.DUMMYFUNCTION("""COMPUTED_VALUE"""),"MUNICIPALIDAD DISTRITAL DE LA PERLA")</f>
        <v>MUNICIPALIDAD DISTRITAL DE LA PERLA</v>
      </c>
      <c r="D710" s="25" t="str">
        <f ca="1">IFERROR(__xludf.DUMMYFUNCTION("""COMPUTED_VALUE"""),"SEDE CENTRAL")</f>
        <v>SEDE CENTRAL</v>
      </c>
      <c r="E710" s="25" t="str">
        <f ca="1">IFERROR(__xludf.DUMMYFUNCTION("""COMPUTED_VALUE"""),"CALLAO")</f>
        <v>CALLAO</v>
      </c>
      <c r="F710" s="25" t="str">
        <f ca="1">IFERROR(__xludf.DUMMYFUNCTION("""COMPUTED_VALUE"""),"CALLAO")</f>
        <v>CALLAO</v>
      </c>
      <c r="G710" s="25" t="str">
        <f ca="1">IFERROR(__xludf.DUMMYFUNCTION("""COMPUTED_VALUE"""),"LA PERLA")</f>
        <v>LA PERLA</v>
      </c>
      <c r="H710" s="25" t="str">
        <f ca="1">IFERROR(__xludf.DUMMYFUNCTION("""COMPUTED_VALUE"""),"URBANO")</f>
        <v>URBANO</v>
      </c>
      <c r="I710" s="25" t="str">
        <f ca="1">IFERROR(__xludf.DUMMYFUNCTION("""COMPUTED_VALUE"""),"Prioridad 1")</f>
        <v>Prioridad 1</v>
      </c>
      <c r="J710" s="43" t="s">
        <v>262</v>
      </c>
    </row>
    <row r="711" spans="2:10">
      <c r="B711" s="25" t="str">
        <f ca="1">IFERROR(__xludf.DUMMYFUNCTION("""COMPUTED_VALUE"""),"MUNICIPALIDAD DISTRITAL")</f>
        <v>MUNICIPALIDAD DISTRITAL</v>
      </c>
      <c r="C711" s="25" t="str">
        <f ca="1">IFERROR(__xludf.DUMMYFUNCTION("""COMPUTED_VALUE"""),"MUNICIPALIDAD DISTRITAL DE LA PUNTA")</f>
        <v>MUNICIPALIDAD DISTRITAL DE LA PUNTA</v>
      </c>
      <c r="D711" s="25" t="str">
        <f ca="1">IFERROR(__xludf.DUMMYFUNCTION("""COMPUTED_VALUE"""),"SEDE CENTRAL")</f>
        <v>SEDE CENTRAL</v>
      </c>
      <c r="E711" s="25" t="str">
        <f ca="1">IFERROR(__xludf.DUMMYFUNCTION("""COMPUTED_VALUE"""),"CALLAO")</f>
        <v>CALLAO</v>
      </c>
      <c r="F711" s="25" t="str">
        <f ca="1">IFERROR(__xludf.DUMMYFUNCTION("""COMPUTED_VALUE"""),"CALLAO")</f>
        <v>CALLAO</v>
      </c>
      <c r="G711" s="25" t="str">
        <f ca="1">IFERROR(__xludf.DUMMYFUNCTION("""COMPUTED_VALUE"""),"LA PUNTA")</f>
        <v>LA PUNTA</v>
      </c>
      <c r="H711" s="25" t="str">
        <f ca="1">IFERROR(__xludf.DUMMYFUNCTION("""COMPUTED_VALUE"""),"URBANO")</f>
        <v>URBANO</v>
      </c>
      <c r="I711" s="25" t="str">
        <f ca="1">IFERROR(__xludf.DUMMYFUNCTION("""COMPUTED_VALUE"""),"Prioridad 2")</f>
        <v>Prioridad 2</v>
      </c>
      <c r="J711" s="43" t="s">
        <v>262</v>
      </c>
    </row>
    <row r="712" spans="2:10">
      <c r="B712" s="25" t="str">
        <f ca="1">IFERROR(__xludf.DUMMYFUNCTION("""COMPUTED_VALUE"""),"MUNICIPALIDAD DISTRITAL")</f>
        <v>MUNICIPALIDAD DISTRITAL</v>
      </c>
      <c r="C712" s="25" t="str">
        <f ca="1">IFERROR(__xludf.DUMMYFUNCTION("""COMPUTED_VALUE"""),"MUNICIPALIDAD DISTRITAL DE MI PERU")</f>
        <v>MUNICIPALIDAD DISTRITAL DE MI PERU</v>
      </c>
      <c r="D712" s="25" t="str">
        <f ca="1">IFERROR(__xludf.DUMMYFUNCTION("""COMPUTED_VALUE"""),"SEDE CENTRAL")</f>
        <v>SEDE CENTRAL</v>
      </c>
      <c r="E712" s="25" t="str">
        <f ca="1">IFERROR(__xludf.DUMMYFUNCTION("""COMPUTED_VALUE"""),"CALLAO")</f>
        <v>CALLAO</v>
      </c>
      <c r="F712" s="25" t="str">
        <f ca="1">IFERROR(__xludf.DUMMYFUNCTION("""COMPUTED_VALUE"""),"CALLAO")</f>
        <v>CALLAO</v>
      </c>
      <c r="G712" s="25" t="str">
        <f ca="1">IFERROR(__xludf.DUMMYFUNCTION("""COMPUTED_VALUE"""),"MI PERU")</f>
        <v>MI PERU</v>
      </c>
      <c r="H712" s="25" t="str">
        <f ca="1">IFERROR(__xludf.DUMMYFUNCTION("""COMPUTED_VALUE"""),"URBANO")</f>
        <v>URBANO</v>
      </c>
      <c r="I712" s="25" t="str">
        <f ca="1">IFERROR(__xludf.DUMMYFUNCTION("""COMPUTED_VALUE"""),"Prioridad 2")</f>
        <v>Prioridad 2</v>
      </c>
      <c r="J712" s="43" t="s">
        <v>262</v>
      </c>
    </row>
    <row r="713" spans="2:10">
      <c r="B713" s="25" t="str">
        <f ca="1">IFERROR(__xludf.DUMMYFUNCTION("""COMPUTED_VALUE"""),"MUNICIPALIDAD DISTRITAL")</f>
        <v>MUNICIPALIDAD DISTRITAL</v>
      </c>
      <c r="C713" s="25" t="str">
        <f ca="1">IFERROR(__xludf.DUMMYFUNCTION("""COMPUTED_VALUE"""),"MUNICIPALIDAD DISTRITAL DE VENTANILLA")</f>
        <v>MUNICIPALIDAD DISTRITAL DE VENTANILLA</v>
      </c>
      <c r="D713" s="25" t="str">
        <f ca="1">IFERROR(__xludf.DUMMYFUNCTION("""COMPUTED_VALUE"""),"SEDE CENTRAL")</f>
        <v>SEDE CENTRAL</v>
      </c>
      <c r="E713" s="25" t="str">
        <f ca="1">IFERROR(__xludf.DUMMYFUNCTION("""COMPUTED_VALUE"""),"CALLAO")</f>
        <v>CALLAO</v>
      </c>
      <c r="F713" s="25" t="str">
        <f ca="1">IFERROR(__xludf.DUMMYFUNCTION("""COMPUTED_VALUE"""),"CALLAO")</f>
        <v>CALLAO</v>
      </c>
      <c r="G713" s="25" t="str">
        <f ca="1">IFERROR(__xludf.DUMMYFUNCTION("""COMPUTED_VALUE"""),"VENTANILLA")</f>
        <v>VENTANILLA</v>
      </c>
      <c r="H713" s="25" t="str">
        <f ca="1">IFERROR(__xludf.DUMMYFUNCTION("""COMPUTED_VALUE"""),"URBANO")</f>
        <v>URBANO</v>
      </c>
      <c r="I713" s="25" t="str">
        <f ca="1">IFERROR(__xludf.DUMMYFUNCTION("""COMPUTED_VALUE"""),"Prioridad 3")</f>
        <v>Prioridad 3</v>
      </c>
      <c r="J713" s="43" t="s">
        <v>262</v>
      </c>
    </row>
    <row r="714" spans="2:10">
      <c r="B714" s="25" t="str">
        <f ca="1">IFERROR(__xludf.DUMMYFUNCTION("""COMPUTED_VALUE"""),"GOBIERNO REGIONAL")</f>
        <v>GOBIERNO REGIONAL</v>
      </c>
      <c r="C714" s="25" t="str">
        <f ca="1">IFERROR(__xludf.DUMMYFUNCTION("""COMPUTED_VALUE"""),"GOBIERNO REGIONAL DEL CALLAO")</f>
        <v>GOBIERNO REGIONAL DEL CALLAO</v>
      </c>
      <c r="D714" s="25" t="str">
        <f ca="1">IFERROR(__xludf.DUMMYFUNCTION("""COMPUTED_VALUE"""),"SEDE CENTRAL")</f>
        <v>SEDE CENTRAL</v>
      </c>
      <c r="E714" s="25" t="str">
        <f ca="1">IFERROR(__xludf.DUMMYFUNCTION("""COMPUTED_VALUE"""),"CALLAO")</f>
        <v>CALLAO</v>
      </c>
      <c r="F714" s="25" t="str">
        <f ca="1">IFERROR(__xludf.DUMMYFUNCTION("""COMPUTED_VALUE"""),"CALLAO")</f>
        <v>CALLAO</v>
      </c>
      <c r="G714" s="25"/>
      <c r="H714" s="25"/>
      <c r="I714" s="25" t="str">
        <f ca="1">IFERROR(__xludf.DUMMYFUNCTION("""COMPUTED_VALUE"""),"Prioridad 1")</f>
        <v>Prioridad 1</v>
      </c>
      <c r="J714" s="43" t="s">
        <v>262</v>
      </c>
    </row>
    <row r="715" spans="2:10">
      <c r="B715" s="25" t="str">
        <f ca="1">IFERROR(__xludf.DUMMYFUNCTION("""COMPUTED_VALUE"""),"MUNICIPALIDAD PROVINCIAL")</f>
        <v>MUNICIPALIDAD PROVINCIAL</v>
      </c>
      <c r="C715" s="25" t="str">
        <f ca="1">IFERROR(__xludf.DUMMYFUNCTION("""COMPUTED_VALUE"""),"MUNICIPALIDAD PROVINCIAL DE ACOMAYO")</f>
        <v>MUNICIPALIDAD PROVINCIAL DE ACOMAYO</v>
      </c>
      <c r="D715" s="25" t="str">
        <f ca="1">IFERROR(__xludf.DUMMYFUNCTION("""COMPUTED_VALUE"""),"CUZCO")</f>
        <v>CUZCO</v>
      </c>
      <c r="E715" s="25" t="str">
        <f ca="1">IFERROR(__xludf.DUMMYFUNCTION("""COMPUTED_VALUE"""),"CUZCO")</f>
        <v>CUZCO</v>
      </c>
      <c r="F715" s="25" t="str">
        <f ca="1">IFERROR(__xludf.DUMMYFUNCTION("""COMPUTED_VALUE"""),"ACOMAYO")</f>
        <v>ACOMAYO</v>
      </c>
      <c r="G715" s="25" t="str">
        <f ca="1">IFERROR(__xludf.DUMMYFUNCTION("""COMPUTED_VALUE"""),"ACOMAYO")</f>
        <v>ACOMAYO</v>
      </c>
      <c r="H715" s="25" t="str">
        <f ca="1">IFERROR(__xludf.DUMMYFUNCTION("""COMPUTED_VALUE"""),"URBANO")</f>
        <v>URBANO</v>
      </c>
      <c r="I715" s="25" t="str">
        <f ca="1">IFERROR(__xludf.DUMMYFUNCTION("""COMPUTED_VALUE"""),"Prioridad 2")</f>
        <v>Prioridad 2</v>
      </c>
      <c r="J715" s="43" t="s">
        <v>262</v>
      </c>
    </row>
    <row r="716" spans="2:10">
      <c r="B716" s="25" t="str">
        <f ca="1">IFERROR(__xludf.DUMMYFUNCTION("""COMPUTED_VALUE"""),"MUNICIPALIDAD DISTRITAL")</f>
        <v>MUNICIPALIDAD DISTRITAL</v>
      </c>
      <c r="C716" s="25" t="str">
        <f ca="1">IFERROR(__xludf.DUMMYFUNCTION("""COMPUTED_VALUE"""),"MUNICIPALIDAD DISTRITAL DE SANGARARA")</f>
        <v>MUNICIPALIDAD DISTRITAL DE SANGARARA</v>
      </c>
      <c r="D716" s="25" t="str">
        <f ca="1">IFERROR(__xludf.DUMMYFUNCTION("""COMPUTED_VALUE"""),"CUZCO")</f>
        <v>CUZCO</v>
      </c>
      <c r="E716" s="25" t="str">
        <f ca="1">IFERROR(__xludf.DUMMYFUNCTION("""COMPUTED_VALUE"""),"CUZCO")</f>
        <v>CUZCO</v>
      </c>
      <c r="F716" s="25" t="str">
        <f ca="1">IFERROR(__xludf.DUMMYFUNCTION("""COMPUTED_VALUE"""),"ACOMAYO")</f>
        <v>ACOMAYO</v>
      </c>
      <c r="G716" s="25" t="str">
        <f ca="1">IFERROR(__xludf.DUMMYFUNCTION("""COMPUTED_VALUE"""),"SANGARARA")</f>
        <v>SANGARARA</v>
      </c>
      <c r="H716" s="25" t="str">
        <f ca="1">IFERROR(__xludf.DUMMYFUNCTION("""COMPUTED_VALUE"""),"URBANO")</f>
        <v>URBANO</v>
      </c>
      <c r="I716" s="25" t="str">
        <f ca="1">IFERROR(__xludf.DUMMYFUNCTION("""COMPUTED_VALUE"""),"Prioridad 2")</f>
        <v>Prioridad 2</v>
      </c>
      <c r="J716" s="43" t="s">
        <v>262</v>
      </c>
    </row>
    <row r="717" spans="2:10">
      <c r="B717" s="25" t="str">
        <f ca="1">IFERROR(__xludf.DUMMYFUNCTION("""COMPUTED_VALUE"""),"MUNICIPALIDAD DISTRITAL")</f>
        <v>MUNICIPALIDAD DISTRITAL</v>
      </c>
      <c r="C717" s="25" t="str">
        <f ca="1">IFERROR(__xludf.DUMMYFUNCTION("""COMPUTED_VALUE"""),"MUNICIPALIDAD DISTRITAL DE ACOPIA")</f>
        <v>MUNICIPALIDAD DISTRITAL DE ACOPIA</v>
      </c>
      <c r="D717" s="25" t="str">
        <f ca="1">IFERROR(__xludf.DUMMYFUNCTION("""COMPUTED_VALUE"""),"CUZCO")</f>
        <v>CUZCO</v>
      </c>
      <c r="E717" s="25" t="str">
        <f ca="1">IFERROR(__xludf.DUMMYFUNCTION("""COMPUTED_VALUE"""),"CUZCO")</f>
        <v>CUZCO</v>
      </c>
      <c r="F717" s="25" t="str">
        <f ca="1">IFERROR(__xludf.DUMMYFUNCTION("""COMPUTED_VALUE"""),"ACOMAYO")</f>
        <v>ACOMAYO</v>
      </c>
      <c r="G717" s="25" t="str">
        <f ca="1">IFERROR(__xludf.DUMMYFUNCTION("""COMPUTED_VALUE"""),"ACOPIA")</f>
        <v>ACOPIA</v>
      </c>
      <c r="H717" s="25" t="str">
        <f ca="1">IFERROR(__xludf.DUMMYFUNCTION("""COMPUTED_VALUE"""),"RURAL")</f>
        <v>RURAL</v>
      </c>
      <c r="I717" s="25" t="str">
        <f ca="1">IFERROR(__xludf.DUMMYFUNCTION("""COMPUTED_VALUE"""),"Prioridad 5")</f>
        <v>Prioridad 5</v>
      </c>
      <c r="J717" s="43" t="s">
        <v>262</v>
      </c>
    </row>
    <row r="718" spans="2:10">
      <c r="B718" s="25" t="str">
        <f ca="1">IFERROR(__xludf.DUMMYFUNCTION("""COMPUTED_VALUE"""),"MUNICIPALIDAD DISTRITAL")</f>
        <v>MUNICIPALIDAD DISTRITAL</v>
      </c>
      <c r="C718" s="25" t="str">
        <f ca="1">IFERROR(__xludf.DUMMYFUNCTION("""COMPUTED_VALUE"""),"MUNICIPALIDAD DISTRITAL DE ACOS")</f>
        <v>MUNICIPALIDAD DISTRITAL DE ACOS</v>
      </c>
      <c r="D718" s="25" t="str">
        <f ca="1">IFERROR(__xludf.DUMMYFUNCTION("""COMPUTED_VALUE"""),"CUZCO")</f>
        <v>CUZCO</v>
      </c>
      <c r="E718" s="25" t="str">
        <f ca="1">IFERROR(__xludf.DUMMYFUNCTION("""COMPUTED_VALUE"""),"CUZCO")</f>
        <v>CUZCO</v>
      </c>
      <c r="F718" s="25" t="str">
        <f ca="1">IFERROR(__xludf.DUMMYFUNCTION("""COMPUTED_VALUE"""),"ACOMAYO")</f>
        <v>ACOMAYO</v>
      </c>
      <c r="G718" s="25" t="str">
        <f ca="1">IFERROR(__xludf.DUMMYFUNCTION("""COMPUTED_VALUE"""),"ACOS")</f>
        <v>ACOS</v>
      </c>
      <c r="H718" s="25" t="str">
        <f ca="1">IFERROR(__xludf.DUMMYFUNCTION("""COMPUTED_VALUE"""),"RURAL")</f>
        <v>RURAL</v>
      </c>
      <c r="I718" s="25" t="str">
        <f ca="1">IFERROR(__xludf.DUMMYFUNCTION("""COMPUTED_VALUE"""),"Prioridad 5")</f>
        <v>Prioridad 5</v>
      </c>
      <c r="J718" s="43" t="s">
        <v>262</v>
      </c>
    </row>
    <row r="719" spans="2:10">
      <c r="B719" s="25" t="str">
        <f ca="1">IFERROR(__xludf.DUMMYFUNCTION("""COMPUTED_VALUE"""),"MUNICIPALIDAD DISTRITAL")</f>
        <v>MUNICIPALIDAD DISTRITAL</v>
      </c>
      <c r="C719" s="25" t="str">
        <f ca="1">IFERROR(__xludf.DUMMYFUNCTION("""COMPUTED_VALUE"""),"MUNICIPALIDAD DISTRITAL DE MOSOC LLACTA")</f>
        <v>MUNICIPALIDAD DISTRITAL DE MOSOC LLACTA</v>
      </c>
      <c r="D719" s="25" t="str">
        <f ca="1">IFERROR(__xludf.DUMMYFUNCTION("""COMPUTED_VALUE"""),"CUZCO")</f>
        <v>CUZCO</v>
      </c>
      <c r="E719" s="25" t="str">
        <f ca="1">IFERROR(__xludf.DUMMYFUNCTION("""COMPUTED_VALUE"""),"CUZCO")</f>
        <v>CUZCO</v>
      </c>
      <c r="F719" s="25" t="str">
        <f ca="1">IFERROR(__xludf.DUMMYFUNCTION("""COMPUTED_VALUE"""),"ACOMAYO")</f>
        <v>ACOMAYO</v>
      </c>
      <c r="G719" s="25" t="str">
        <f ca="1">IFERROR(__xludf.DUMMYFUNCTION("""COMPUTED_VALUE"""),"MOSOC LLACTA")</f>
        <v>MOSOC LLACTA</v>
      </c>
      <c r="H719" s="25" t="str">
        <f ca="1">IFERROR(__xludf.DUMMYFUNCTION("""COMPUTED_VALUE"""),"RURAL")</f>
        <v>RURAL</v>
      </c>
      <c r="I719" s="25" t="str">
        <f ca="1">IFERROR(__xludf.DUMMYFUNCTION("""COMPUTED_VALUE"""),"Prioridad 5")</f>
        <v>Prioridad 5</v>
      </c>
      <c r="J719" s="43" t="s">
        <v>262</v>
      </c>
    </row>
    <row r="720" spans="2:10">
      <c r="B720" s="25" t="str">
        <f ca="1">IFERROR(__xludf.DUMMYFUNCTION("""COMPUTED_VALUE"""),"MUNICIPALIDAD DISTRITAL")</f>
        <v>MUNICIPALIDAD DISTRITAL</v>
      </c>
      <c r="C720" s="25" t="str">
        <f ca="1">IFERROR(__xludf.DUMMYFUNCTION("""COMPUTED_VALUE"""),"MUNICIPALIDAD DISTRITAL DE POMACANCHI")</f>
        <v>MUNICIPALIDAD DISTRITAL DE POMACANCHI</v>
      </c>
      <c r="D720" s="25" t="str">
        <f ca="1">IFERROR(__xludf.DUMMYFUNCTION("""COMPUTED_VALUE"""),"CUZCO")</f>
        <v>CUZCO</v>
      </c>
      <c r="E720" s="25" t="str">
        <f ca="1">IFERROR(__xludf.DUMMYFUNCTION("""COMPUTED_VALUE"""),"CUZCO")</f>
        <v>CUZCO</v>
      </c>
      <c r="F720" s="25" t="str">
        <f ca="1">IFERROR(__xludf.DUMMYFUNCTION("""COMPUTED_VALUE"""),"ACOMAYO")</f>
        <v>ACOMAYO</v>
      </c>
      <c r="G720" s="25" t="str">
        <f ca="1">IFERROR(__xludf.DUMMYFUNCTION("""COMPUTED_VALUE"""),"POMACANCHI")</f>
        <v>POMACANCHI</v>
      </c>
      <c r="H720" s="25" t="str">
        <f ca="1">IFERROR(__xludf.DUMMYFUNCTION("""COMPUTED_VALUE"""),"URBANO")</f>
        <v>URBANO</v>
      </c>
      <c r="I720" s="25" t="str">
        <f ca="1">IFERROR(__xludf.DUMMYFUNCTION("""COMPUTED_VALUE"""),"Prioridad 4")</f>
        <v>Prioridad 4</v>
      </c>
      <c r="J720" s="43" t="s">
        <v>262</v>
      </c>
    </row>
    <row r="721" spans="2:10">
      <c r="B721" s="25" t="str">
        <f ca="1">IFERROR(__xludf.DUMMYFUNCTION("""COMPUTED_VALUE"""),"MUNICIPALIDAD DISTRITAL")</f>
        <v>MUNICIPALIDAD DISTRITAL</v>
      </c>
      <c r="C721" s="25" t="str">
        <f ca="1">IFERROR(__xludf.DUMMYFUNCTION("""COMPUTED_VALUE"""),"MUNICIPALIDAD DISTRITAL DE RONDOCAN")</f>
        <v>MUNICIPALIDAD DISTRITAL DE RONDOCAN</v>
      </c>
      <c r="D721" s="25" t="str">
        <f ca="1">IFERROR(__xludf.DUMMYFUNCTION("""COMPUTED_VALUE"""),"CUZCO")</f>
        <v>CUZCO</v>
      </c>
      <c r="E721" s="25" t="str">
        <f ca="1">IFERROR(__xludf.DUMMYFUNCTION("""COMPUTED_VALUE"""),"CUZCO")</f>
        <v>CUZCO</v>
      </c>
      <c r="F721" s="25" t="str">
        <f ca="1">IFERROR(__xludf.DUMMYFUNCTION("""COMPUTED_VALUE"""),"ACOMAYO")</f>
        <v>ACOMAYO</v>
      </c>
      <c r="G721" s="25" t="str">
        <f ca="1">IFERROR(__xludf.DUMMYFUNCTION("""COMPUTED_VALUE"""),"RONDOCAN")</f>
        <v>RONDOCAN</v>
      </c>
      <c r="H721" s="25" t="str">
        <f ca="1">IFERROR(__xludf.DUMMYFUNCTION("""COMPUTED_VALUE"""),"RURAL")</f>
        <v>RURAL</v>
      </c>
      <c r="I721" s="25" t="str">
        <f ca="1">IFERROR(__xludf.DUMMYFUNCTION("""COMPUTED_VALUE"""),"Prioridad 4")</f>
        <v>Prioridad 4</v>
      </c>
      <c r="J721" s="43" t="s">
        <v>262</v>
      </c>
    </row>
    <row r="722" spans="2:10">
      <c r="B722" s="25" t="str">
        <f ca="1">IFERROR(__xludf.DUMMYFUNCTION("""COMPUTED_VALUE"""),"MUNICIPALIDAD PROVINCIAL")</f>
        <v>MUNICIPALIDAD PROVINCIAL</v>
      </c>
      <c r="C722" s="25" t="str">
        <f ca="1">IFERROR(__xludf.DUMMYFUNCTION("""COMPUTED_VALUE"""),"MUNICIPALIDAD PROVINCIAL DE ANTA")</f>
        <v>MUNICIPALIDAD PROVINCIAL DE ANTA</v>
      </c>
      <c r="D722" s="25" t="str">
        <f ca="1">IFERROR(__xludf.DUMMYFUNCTION("""COMPUTED_VALUE"""),"CUZCO")</f>
        <v>CUZCO</v>
      </c>
      <c r="E722" s="25" t="str">
        <f ca="1">IFERROR(__xludf.DUMMYFUNCTION("""COMPUTED_VALUE"""),"CUZCO")</f>
        <v>CUZCO</v>
      </c>
      <c r="F722" s="25" t="str">
        <f ca="1">IFERROR(__xludf.DUMMYFUNCTION("""COMPUTED_VALUE"""),"ANTA")</f>
        <v>ANTA</v>
      </c>
      <c r="G722" s="25" t="str">
        <f ca="1">IFERROR(__xludf.DUMMYFUNCTION("""COMPUTED_VALUE"""),"ANTA")</f>
        <v>ANTA</v>
      </c>
      <c r="H722" s="25" t="str">
        <f ca="1">IFERROR(__xludf.DUMMYFUNCTION("""COMPUTED_VALUE"""),"RURAL")</f>
        <v>RURAL</v>
      </c>
      <c r="I722" s="25" t="str">
        <f ca="1">IFERROR(__xludf.DUMMYFUNCTION("""COMPUTED_VALUE"""),"Prioridad 1")</f>
        <v>Prioridad 1</v>
      </c>
      <c r="J722" s="43" t="s">
        <v>262</v>
      </c>
    </row>
    <row r="723" spans="2:10">
      <c r="B723" s="25" t="str">
        <f ca="1">IFERROR(__xludf.DUMMYFUNCTION("""COMPUTED_VALUE"""),"MUNICIPALIDAD DISTRITAL")</f>
        <v>MUNICIPALIDAD DISTRITAL</v>
      </c>
      <c r="C723" s="25" t="str">
        <f ca="1">IFERROR(__xludf.DUMMYFUNCTION("""COMPUTED_VALUE"""),"MUNICIPALIDAD DISTRITAL DE ANCAHUASI")</f>
        <v>MUNICIPALIDAD DISTRITAL DE ANCAHUASI</v>
      </c>
      <c r="D723" s="25" t="str">
        <f ca="1">IFERROR(__xludf.DUMMYFUNCTION("""COMPUTED_VALUE"""),"CUZCO")</f>
        <v>CUZCO</v>
      </c>
      <c r="E723" s="25" t="str">
        <f ca="1">IFERROR(__xludf.DUMMYFUNCTION("""COMPUTED_VALUE"""),"CUZCO")</f>
        <v>CUZCO</v>
      </c>
      <c r="F723" s="25" t="str">
        <f ca="1">IFERROR(__xludf.DUMMYFUNCTION("""COMPUTED_VALUE"""),"ANTA")</f>
        <v>ANTA</v>
      </c>
      <c r="G723" s="25" t="str">
        <f ca="1">IFERROR(__xludf.DUMMYFUNCTION("""COMPUTED_VALUE"""),"ANCAHUASI")</f>
        <v>ANCAHUASI</v>
      </c>
      <c r="H723" s="25" t="str">
        <f ca="1">IFERROR(__xludf.DUMMYFUNCTION("""COMPUTED_VALUE"""),"RURAL")</f>
        <v>RURAL</v>
      </c>
      <c r="I723" s="25" t="str">
        <f ca="1">IFERROR(__xludf.DUMMYFUNCTION("""COMPUTED_VALUE"""),"Prioridad 3")</f>
        <v>Prioridad 3</v>
      </c>
      <c r="J723" s="43" t="s">
        <v>262</v>
      </c>
    </row>
    <row r="724" spans="2:10">
      <c r="B724" s="25" t="str">
        <f ca="1">IFERROR(__xludf.DUMMYFUNCTION("""COMPUTED_VALUE"""),"MUNICIPALIDAD DISTRITAL")</f>
        <v>MUNICIPALIDAD DISTRITAL</v>
      </c>
      <c r="C724" s="25" t="str">
        <f ca="1">IFERROR(__xludf.DUMMYFUNCTION("""COMPUTED_VALUE"""),"MUNICIPALIDAD DISTRITAL DE CACHIMAYO")</f>
        <v>MUNICIPALIDAD DISTRITAL DE CACHIMAYO</v>
      </c>
      <c r="D724" s="25" t="str">
        <f ca="1">IFERROR(__xludf.DUMMYFUNCTION("""COMPUTED_VALUE"""),"CUZCO")</f>
        <v>CUZCO</v>
      </c>
      <c r="E724" s="25" t="str">
        <f ca="1">IFERROR(__xludf.DUMMYFUNCTION("""COMPUTED_VALUE"""),"CUZCO")</f>
        <v>CUZCO</v>
      </c>
      <c r="F724" s="25" t="str">
        <f ca="1">IFERROR(__xludf.DUMMYFUNCTION("""COMPUTED_VALUE"""),"ANTA")</f>
        <v>ANTA</v>
      </c>
      <c r="G724" s="25" t="str">
        <f ca="1">IFERROR(__xludf.DUMMYFUNCTION("""COMPUTED_VALUE"""),"CACHIMAYO")</f>
        <v>CACHIMAYO</v>
      </c>
      <c r="H724" s="25" t="str">
        <f ca="1">IFERROR(__xludf.DUMMYFUNCTION("""COMPUTED_VALUE"""),"RURAL")</f>
        <v>RURAL</v>
      </c>
      <c r="I724" s="25" t="str">
        <f ca="1">IFERROR(__xludf.DUMMYFUNCTION("""COMPUTED_VALUE"""),"Prioridad 4")</f>
        <v>Prioridad 4</v>
      </c>
      <c r="J724" s="43" t="s">
        <v>262</v>
      </c>
    </row>
    <row r="725" spans="2:10">
      <c r="B725" s="25" t="str">
        <f ca="1">IFERROR(__xludf.DUMMYFUNCTION("""COMPUTED_VALUE"""),"MUNICIPALIDAD DISTRITAL")</f>
        <v>MUNICIPALIDAD DISTRITAL</v>
      </c>
      <c r="C725" s="25" t="str">
        <f ca="1">IFERROR(__xludf.DUMMYFUNCTION("""COMPUTED_VALUE"""),"MUNICIPALIDAD DISTRITAL DE CHINCHAYPUJIO")</f>
        <v>MUNICIPALIDAD DISTRITAL DE CHINCHAYPUJIO</v>
      </c>
      <c r="D725" s="25" t="str">
        <f ca="1">IFERROR(__xludf.DUMMYFUNCTION("""COMPUTED_VALUE"""),"CUZCO")</f>
        <v>CUZCO</v>
      </c>
      <c r="E725" s="25" t="str">
        <f ca="1">IFERROR(__xludf.DUMMYFUNCTION("""COMPUTED_VALUE"""),"CUZCO")</f>
        <v>CUZCO</v>
      </c>
      <c r="F725" s="25" t="str">
        <f ca="1">IFERROR(__xludf.DUMMYFUNCTION("""COMPUTED_VALUE"""),"ANTA")</f>
        <v>ANTA</v>
      </c>
      <c r="G725" s="25" t="str">
        <f ca="1">IFERROR(__xludf.DUMMYFUNCTION("""COMPUTED_VALUE"""),"CHINCHAYPUJIO")</f>
        <v>CHINCHAYPUJIO</v>
      </c>
      <c r="H725" s="25" t="str">
        <f ca="1">IFERROR(__xludf.DUMMYFUNCTION("""COMPUTED_VALUE"""),"RURAL")</f>
        <v>RURAL</v>
      </c>
      <c r="I725" s="25" t="str">
        <f ca="1">IFERROR(__xludf.DUMMYFUNCTION("""COMPUTED_VALUE"""),"Prioridad 3")</f>
        <v>Prioridad 3</v>
      </c>
      <c r="J725" s="43" t="s">
        <v>262</v>
      </c>
    </row>
    <row r="726" spans="2:10">
      <c r="B726" s="25" t="str">
        <f ca="1">IFERROR(__xludf.DUMMYFUNCTION("""COMPUTED_VALUE"""),"MUNICIPALIDAD DISTRITAL")</f>
        <v>MUNICIPALIDAD DISTRITAL</v>
      </c>
      <c r="C726" s="25" t="str">
        <f ca="1">IFERROR(__xludf.DUMMYFUNCTION("""COMPUTED_VALUE"""),"MUNICIPALIDAD DISTRITAL DE HUAROCONDO")</f>
        <v>MUNICIPALIDAD DISTRITAL DE HUAROCONDO</v>
      </c>
      <c r="D726" s="25" t="str">
        <f ca="1">IFERROR(__xludf.DUMMYFUNCTION("""COMPUTED_VALUE"""),"CUZCO")</f>
        <v>CUZCO</v>
      </c>
      <c r="E726" s="25" t="str">
        <f ca="1">IFERROR(__xludf.DUMMYFUNCTION("""COMPUTED_VALUE"""),"CUZCO")</f>
        <v>CUZCO</v>
      </c>
      <c r="F726" s="25" t="str">
        <f ca="1">IFERROR(__xludf.DUMMYFUNCTION("""COMPUTED_VALUE"""),"ANTA")</f>
        <v>ANTA</v>
      </c>
      <c r="G726" s="25" t="str">
        <f ca="1">IFERROR(__xludf.DUMMYFUNCTION("""COMPUTED_VALUE"""),"HUAROCONDO")</f>
        <v>HUAROCONDO</v>
      </c>
      <c r="H726" s="25" t="str">
        <f ca="1">IFERROR(__xludf.DUMMYFUNCTION("""COMPUTED_VALUE"""),"RURAL")</f>
        <v>RURAL</v>
      </c>
      <c r="I726" s="25" t="str">
        <f ca="1">IFERROR(__xludf.DUMMYFUNCTION("""COMPUTED_VALUE"""),"Prioridad 3")</f>
        <v>Prioridad 3</v>
      </c>
      <c r="J726" s="43" t="s">
        <v>262</v>
      </c>
    </row>
    <row r="727" spans="2:10">
      <c r="B727" s="25" t="str">
        <f ca="1">IFERROR(__xludf.DUMMYFUNCTION("""COMPUTED_VALUE"""),"MUNICIPALIDAD DISTRITAL")</f>
        <v>MUNICIPALIDAD DISTRITAL</v>
      </c>
      <c r="C727" s="25" t="str">
        <f ca="1">IFERROR(__xludf.DUMMYFUNCTION("""COMPUTED_VALUE"""),"MUNICIPALIDAD DISTRITAL DE LIMATAMBO")</f>
        <v>MUNICIPALIDAD DISTRITAL DE LIMATAMBO</v>
      </c>
      <c r="D727" s="25" t="str">
        <f ca="1">IFERROR(__xludf.DUMMYFUNCTION("""COMPUTED_VALUE"""),"CUZCO")</f>
        <v>CUZCO</v>
      </c>
      <c r="E727" s="25" t="str">
        <f ca="1">IFERROR(__xludf.DUMMYFUNCTION("""COMPUTED_VALUE"""),"CUZCO")</f>
        <v>CUZCO</v>
      </c>
      <c r="F727" s="25" t="str">
        <f ca="1">IFERROR(__xludf.DUMMYFUNCTION("""COMPUTED_VALUE"""),"ANTA")</f>
        <v>ANTA</v>
      </c>
      <c r="G727" s="25" t="str">
        <f ca="1">IFERROR(__xludf.DUMMYFUNCTION("""COMPUTED_VALUE"""),"LIMATAMBO")</f>
        <v>LIMATAMBO</v>
      </c>
      <c r="H727" s="25" t="str">
        <f ca="1">IFERROR(__xludf.DUMMYFUNCTION("""COMPUTED_VALUE"""),"RURAL")</f>
        <v>RURAL</v>
      </c>
      <c r="I727" s="25" t="str">
        <f ca="1">IFERROR(__xludf.DUMMYFUNCTION("""COMPUTED_VALUE"""),"Prioridad 3")</f>
        <v>Prioridad 3</v>
      </c>
      <c r="J727" s="43" t="s">
        <v>262</v>
      </c>
    </row>
    <row r="728" spans="2:10">
      <c r="B728" s="25" t="str">
        <f ca="1">IFERROR(__xludf.DUMMYFUNCTION("""COMPUTED_VALUE"""),"MUNICIPALIDAD DISTRITAL")</f>
        <v>MUNICIPALIDAD DISTRITAL</v>
      </c>
      <c r="C728" s="25" t="str">
        <f ca="1">IFERROR(__xludf.DUMMYFUNCTION("""COMPUTED_VALUE"""),"MUNICIPALIDAD DISTRITAL DE MOLLEPATA EN ANTA")</f>
        <v>MUNICIPALIDAD DISTRITAL DE MOLLEPATA EN ANTA</v>
      </c>
      <c r="D728" s="25" t="str">
        <f ca="1">IFERROR(__xludf.DUMMYFUNCTION("""COMPUTED_VALUE"""),"CUZCO")</f>
        <v>CUZCO</v>
      </c>
      <c r="E728" s="25" t="str">
        <f ca="1">IFERROR(__xludf.DUMMYFUNCTION("""COMPUTED_VALUE"""),"CUZCO")</f>
        <v>CUZCO</v>
      </c>
      <c r="F728" s="25" t="str">
        <f ca="1">IFERROR(__xludf.DUMMYFUNCTION("""COMPUTED_VALUE"""),"ANTA")</f>
        <v>ANTA</v>
      </c>
      <c r="G728" s="25" t="str">
        <f ca="1">IFERROR(__xludf.DUMMYFUNCTION("""COMPUTED_VALUE"""),"MOLLEPATA")</f>
        <v>MOLLEPATA</v>
      </c>
      <c r="H728" s="25" t="str">
        <f ca="1">IFERROR(__xludf.DUMMYFUNCTION("""COMPUTED_VALUE"""),"RURAL")</f>
        <v>RURAL</v>
      </c>
      <c r="I728" s="25" t="str">
        <f ca="1">IFERROR(__xludf.DUMMYFUNCTION("""COMPUTED_VALUE"""),"Prioridad 2")</f>
        <v>Prioridad 2</v>
      </c>
      <c r="J728" s="43" t="s">
        <v>262</v>
      </c>
    </row>
    <row r="729" spans="2:10">
      <c r="B729" s="25" t="str">
        <f ca="1">IFERROR(__xludf.DUMMYFUNCTION("""COMPUTED_VALUE"""),"MUNICIPALIDAD DISTRITAL")</f>
        <v>MUNICIPALIDAD DISTRITAL</v>
      </c>
      <c r="C729" s="25" t="str">
        <f ca="1">IFERROR(__xludf.DUMMYFUNCTION("""COMPUTED_VALUE"""),"MUNICIPALIDAD DISTRITAL DE PUCYURA")</f>
        <v>MUNICIPALIDAD DISTRITAL DE PUCYURA</v>
      </c>
      <c r="D729" s="25" t="str">
        <f ca="1">IFERROR(__xludf.DUMMYFUNCTION("""COMPUTED_VALUE"""),"CUZCO")</f>
        <v>CUZCO</v>
      </c>
      <c r="E729" s="25" t="str">
        <f ca="1">IFERROR(__xludf.DUMMYFUNCTION("""COMPUTED_VALUE"""),"CUZCO")</f>
        <v>CUZCO</v>
      </c>
      <c r="F729" s="25" t="str">
        <f ca="1">IFERROR(__xludf.DUMMYFUNCTION("""COMPUTED_VALUE"""),"ANTA")</f>
        <v>ANTA</v>
      </c>
      <c r="G729" s="25" t="str">
        <f ca="1">IFERROR(__xludf.DUMMYFUNCTION("""COMPUTED_VALUE"""),"PUCYURA")</f>
        <v>PUCYURA</v>
      </c>
      <c r="H729" s="25" t="str">
        <f ca="1">IFERROR(__xludf.DUMMYFUNCTION("""COMPUTED_VALUE"""),"RURAL")</f>
        <v>RURAL</v>
      </c>
      <c r="I729" s="25" t="str">
        <f ca="1">IFERROR(__xludf.DUMMYFUNCTION("""COMPUTED_VALUE"""),"Prioridad 2")</f>
        <v>Prioridad 2</v>
      </c>
      <c r="J729" s="43" t="s">
        <v>262</v>
      </c>
    </row>
    <row r="730" spans="2:10">
      <c r="B730" s="25" t="str">
        <f ca="1">IFERROR(__xludf.DUMMYFUNCTION("""COMPUTED_VALUE"""),"MUNICIPALIDAD PROVINCIAL")</f>
        <v>MUNICIPALIDAD PROVINCIAL</v>
      </c>
      <c r="C730" s="25" t="str">
        <f ca="1">IFERROR(__xludf.DUMMYFUNCTION("""COMPUTED_VALUE"""),"MUNICIPALIDAD PROVINCIAL DE CALCA")</f>
        <v>MUNICIPALIDAD PROVINCIAL DE CALCA</v>
      </c>
      <c r="D730" s="25" t="str">
        <f ca="1">IFERROR(__xludf.DUMMYFUNCTION("""COMPUTED_VALUE"""),"CUZCO")</f>
        <v>CUZCO</v>
      </c>
      <c r="E730" s="25" t="str">
        <f ca="1">IFERROR(__xludf.DUMMYFUNCTION("""COMPUTED_VALUE"""),"CUZCO")</f>
        <v>CUZCO</v>
      </c>
      <c r="F730" s="25" t="str">
        <f ca="1">IFERROR(__xludf.DUMMYFUNCTION("""COMPUTED_VALUE"""),"CALCA")</f>
        <v>CALCA</v>
      </c>
      <c r="G730" s="25" t="str">
        <f ca="1">IFERROR(__xludf.DUMMYFUNCTION("""COMPUTED_VALUE"""),"CALCA")</f>
        <v>CALCA</v>
      </c>
      <c r="H730" s="25" t="str">
        <f ca="1">IFERROR(__xludf.DUMMYFUNCTION("""COMPUTED_VALUE"""),"URBANO")</f>
        <v>URBANO</v>
      </c>
      <c r="I730" s="25" t="str">
        <f ca="1">IFERROR(__xludf.DUMMYFUNCTION("""COMPUTED_VALUE"""),"Prioridad 1")</f>
        <v>Prioridad 1</v>
      </c>
      <c r="J730" s="43" t="s">
        <v>262</v>
      </c>
    </row>
    <row r="731" spans="2:10">
      <c r="B731" s="25" t="str">
        <f ca="1">IFERROR(__xludf.DUMMYFUNCTION("""COMPUTED_VALUE"""),"MUNICIPALIDAD DISTRITAL")</f>
        <v>MUNICIPALIDAD DISTRITAL</v>
      </c>
      <c r="C731" s="25" t="str">
        <f ca="1">IFERROR(__xludf.DUMMYFUNCTION("""COMPUTED_VALUE"""),"MUNICIPALIDAD DISTRITAL DE COYA")</f>
        <v>MUNICIPALIDAD DISTRITAL DE COYA</v>
      </c>
      <c r="D731" s="25" t="str">
        <f ca="1">IFERROR(__xludf.DUMMYFUNCTION("""COMPUTED_VALUE"""),"CUZCO")</f>
        <v>CUZCO</v>
      </c>
      <c r="E731" s="25" t="str">
        <f ca="1">IFERROR(__xludf.DUMMYFUNCTION("""COMPUTED_VALUE"""),"CUZCO")</f>
        <v>CUZCO</v>
      </c>
      <c r="F731" s="25" t="str">
        <f ca="1">IFERROR(__xludf.DUMMYFUNCTION("""COMPUTED_VALUE"""),"CALCA")</f>
        <v>CALCA</v>
      </c>
      <c r="G731" s="25" t="str">
        <f ca="1">IFERROR(__xludf.DUMMYFUNCTION("""COMPUTED_VALUE"""),"COYA")</f>
        <v>COYA</v>
      </c>
      <c r="H731" s="25" t="str">
        <f ca="1">IFERROR(__xludf.DUMMYFUNCTION("""COMPUTED_VALUE"""),"URBANO")</f>
        <v>URBANO</v>
      </c>
      <c r="I731" s="25" t="str">
        <f ca="1">IFERROR(__xludf.DUMMYFUNCTION("""COMPUTED_VALUE"""),"Prioridad 2")</f>
        <v>Prioridad 2</v>
      </c>
      <c r="J731" s="43" t="s">
        <v>262</v>
      </c>
    </row>
    <row r="732" spans="2:10">
      <c r="B732" s="25" t="str">
        <f ca="1">IFERROR(__xludf.DUMMYFUNCTION("""COMPUTED_VALUE"""),"MUNICIPALIDAD DISTRITAL")</f>
        <v>MUNICIPALIDAD DISTRITAL</v>
      </c>
      <c r="C732" s="25" t="str">
        <f ca="1">IFERROR(__xludf.DUMMYFUNCTION("""COMPUTED_VALUE"""),"MUNICIPALIDAD DISTRITAL DE ZURITE")</f>
        <v>MUNICIPALIDAD DISTRITAL DE ZURITE</v>
      </c>
      <c r="D732" s="25" t="str">
        <f ca="1">IFERROR(__xludf.DUMMYFUNCTION("""COMPUTED_VALUE"""),"CUZCO")</f>
        <v>CUZCO</v>
      </c>
      <c r="E732" s="25" t="str">
        <f ca="1">IFERROR(__xludf.DUMMYFUNCTION("""COMPUTED_VALUE"""),"CUZCO")</f>
        <v>CUZCO</v>
      </c>
      <c r="F732" s="25" t="str">
        <f ca="1">IFERROR(__xludf.DUMMYFUNCTION("""COMPUTED_VALUE"""),"ANTA")</f>
        <v>ANTA</v>
      </c>
      <c r="G732" s="25" t="str">
        <f ca="1">IFERROR(__xludf.DUMMYFUNCTION("""COMPUTED_VALUE"""),"ZURITE")</f>
        <v>ZURITE</v>
      </c>
      <c r="H732" s="25" t="str">
        <f ca="1">IFERROR(__xludf.DUMMYFUNCTION("""COMPUTED_VALUE"""),"RURAL")</f>
        <v>RURAL</v>
      </c>
      <c r="I732" s="25" t="str">
        <f ca="1">IFERROR(__xludf.DUMMYFUNCTION("""COMPUTED_VALUE"""),"Prioridad 2")</f>
        <v>Prioridad 2</v>
      </c>
      <c r="J732" s="43" t="s">
        <v>262</v>
      </c>
    </row>
    <row r="733" spans="2:10">
      <c r="B733" s="25" t="str">
        <f ca="1">IFERROR(__xludf.DUMMYFUNCTION("""COMPUTED_VALUE"""),"MUNICIPALIDAD DISTRITAL")</f>
        <v>MUNICIPALIDAD DISTRITAL</v>
      </c>
      <c r="C733" s="25" t="str">
        <f ca="1">IFERROR(__xludf.DUMMYFUNCTION("""COMPUTED_VALUE"""),"MUNICIPALIDAD DISTRITAL DE LAMAY")</f>
        <v>MUNICIPALIDAD DISTRITAL DE LAMAY</v>
      </c>
      <c r="D733" s="25" t="str">
        <f ca="1">IFERROR(__xludf.DUMMYFUNCTION("""COMPUTED_VALUE"""),"CUZCO")</f>
        <v>CUZCO</v>
      </c>
      <c r="E733" s="25" t="str">
        <f ca="1">IFERROR(__xludf.DUMMYFUNCTION("""COMPUTED_VALUE"""),"CUZCO")</f>
        <v>CUZCO</v>
      </c>
      <c r="F733" s="25" t="str">
        <f ca="1">IFERROR(__xludf.DUMMYFUNCTION("""COMPUTED_VALUE"""),"CALCA")</f>
        <v>CALCA</v>
      </c>
      <c r="G733" s="25" t="str">
        <f ca="1">IFERROR(__xludf.DUMMYFUNCTION("""COMPUTED_VALUE"""),"LAMAY")</f>
        <v>LAMAY</v>
      </c>
      <c r="H733" s="25" t="str">
        <f ca="1">IFERROR(__xludf.DUMMYFUNCTION("""COMPUTED_VALUE"""),"URBANO")</f>
        <v>URBANO</v>
      </c>
      <c r="I733" s="25" t="str">
        <f ca="1">IFERROR(__xludf.DUMMYFUNCTION("""COMPUTED_VALUE"""),"Prioridad 3")</f>
        <v>Prioridad 3</v>
      </c>
      <c r="J733" s="43" t="s">
        <v>262</v>
      </c>
    </row>
    <row r="734" spans="2:10">
      <c r="B734" s="25" t="str">
        <f ca="1">IFERROR(__xludf.DUMMYFUNCTION("""COMPUTED_VALUE"""),"MUNICIPALIDAD DISTRITAL")</f>
        <v>MUNICIPALIDAD DISTRITAL</v>
      </c>
      <c r="C734" s="25" t="str">
        <f ca="1">IFERROR(__xludf.DUMMYFUNCTION("""COMPUTED_VALUE"""),"MUNICIPALIDAD DISTRITAL DE LARES")</f>
        <v>MUNICIPALIDAD DISTRITAL DE LARES</v>
      </c>
      <c r="D734" s="25" t="str">
        <f ca="1">IFERROR(__xludf.DUMMYFUNCTION("""COMPUTED_VALUE"""),"CUZCO")</f>
        <v>CUZCO</v>
      </c>
      <c r="E734" s="25" t="str">
        <f ca="1">IFERROR(__xludf.DUMMYFUNCTION("""COMPUTED_VALUE"""),"CUZCO")</f>
        <v>CUZCO</v>
      </c>
      <c r="F734" s="25" t="str">
        <f ca="1">IFERROR(__xludf.DUMMYFUNCTION("""COMPUTED_VALUE"""),"CALCA")</f>
        <v>CALCA</v>
      </c>
      <c r="G734" s="25" t="str">
        <f ca="1">IFERROR(__xludf.DUMMYFUNCTION("""COMPUTED_VALUE"""),"LARES")</f>
        <v>LARES</v>
      </c>
      <c r="H734" s="25" t="str">
        <f ca="1">IFERROR(__xludf.DUMMYFUNCTION("""COMPUTED_VALUE"""),"RURAL")</f>
        <v>RURAL</v>
      </c>
      <c r="I734" s="25" t="str">
        <f ca="1">IFERROR(__xludf.DUMMYFUNCTION("""COMPUTED_VALUE"""),"Prioridad 3")</f>
        <v>Prioridad 3</v>
      </c>
      <c r="J734" s="43" t="s">
        <v>262</v>
      </c>
    </row>
    <row r="735" spans="2:10">
      <c r="B735" s="25" t="str">
        <f ca="1">IFERROR(__xludf.DUMMYFUNCTION("""COMPUTED_VALUE"""),"MUNICIPALIDAD DISTRITAL")</f>
        <v>MUNICIPALIDAD DISTRITAL</v>
      </c>
      <c r="C735" s="25" t="str">
        <f ca="1">IFERROR(__xludf.DUMMYFUNCTION("""COMPUTED_VALUE"""),"MUNICIPALIDAD DISTRITAL DE PISAC")</f>
        <v>MUNICIPALIDAD DISTRITAL DE PISAC</v>
      </c>
      <c r="D735" s="25" t="str">
        <f ca="1">IFERROR(__xludf.DUMMYFUNCTION("""COMPUTED_VALUE"""),"CUZCO")</f>
        <v>CUZCO</v>
      </c>
      <c r="E735" s="25" t="str">
        <f ca="1">IFERROR(__xludf.DUMMYFUNCTION("""COMPUTED_VALUE"""),"CUZCO")</f>
        <v>CUZCO</v>
      </c>
      <c r="F735" s="25" t="str">
        <f ca="1">IFERROR(__xludf.DUMMYFUNCTION("""COMPUTED_VALUE"""),"CALCA")</f>
        <v>CALCA</v>
      </c>
      <c r="G735" s="25" t="str">
        <f ca="1">IFERROR(__xludf.DUMMYFUNCTION("""COMPUTED_VALUE"""),"PISAC")</f>
        <v>PISAC</v>
      </c>
      <c r="H735" s="25" t="str">
        <f ca="1">IFERROR(__xludf.DUMMYFUNCTION("""COMPUTED_VALUE"""),"RURAL")</f>
        <v>RURAL</v>
      </c>
      <c r="I735" s="25" t="str">
        <f ca="1">IFERROR(__xludf.DUMMYFUNCTION("""COMPUTED_VALUE"""),"Prioridad 2")</f>
        <v>Prioridad 2</v>
      </c>
      <c r="J735" s="43" t="s">
        <v>262</v>
      </c>
    </row>
    <row r="736" spans="2:10">
      <c r="B736" s="25" t="str">
        <f ca="1">IFERROR(__xludf.DUMMYFUNCTION("""COMPUTED_VALUE"""),"MUNICIPALIDAD DISTRITAL")</f>
        <v>MUNICIPALIDAD DISTRITAL</v>
      </c>
      <c r="C736" s="25" t="str">
        <f ca="1">IFERROR(__xludf.DUMMYFUNCTION("""COMPUTED_VALUE"""),"MUNICIPALIDAD DISTRITAL DE SAN SALVADOR")</f>
        <v>MUNICIPALIDAD DISTRITAL DE SAN SALVADOR</v>
      </c>
      <c r="D736" s="25" t="str">
        <f ca="1">IFERROR(__xludf.DUMMYFUNCTION("""COMPUTED_VALUE"""),"CUZCO")</f>
        <v>CUZCO</v>
      </c>
      <c r="E736" s="25" t="str">
        <f ca="1">IFERROR(__xludf.DUMMYFUNCTION("""COMPUTED_VALUE"""),"CUZCO")</f>
        <v>CUZCO</v>
      </c>
      <c r="F736" s="25" t="str">
        <f ca="1">IFERROR(__xludf.DUMMYFUNCTION("""COMPUTED_VALUE"""),"CALCA")</f>
        <v>CALCA</v>
      </c>
      <c r="G736" s="25" t="str">
        <f ca="1">IFERROR(__xludf.DUMMYFUNCTION("""COMPUTED_VALUE"""),"SAN SALVADOR")</f>
        <v>SAN SALVADOR</v>
      </c>
      <c r="H736" s="25" t="str">
        <f ca="1">IFERROR(__xludf.DUMMYFUNCTION("""COMPUTED_VALUE"""),"RURAL")</f>
        <v>RURAL</v>
      </c>
      <c r="I736" s="25" t="str">
        <f ca="1">IFERROR(__xludf.DUMMYFUNCTION("""COMPUTED_VALUE"""),"Prioridad 2")</f>
        <v>Prioridad 2</v>
      </c>
      <c r="J736" s="43" t="s">
        <v>262</v>
      </c>
    </row>
    <row r="737" spans="2:10">
      <c r="B737" s="25" t="str">
        <f ca="1">IFERROR(__xludf.DUMMYFUNCTION("""COMPUTED_VALUE"""),"MUNICIPALIDAD DISTRITAL")</f>
        <v>MUNICIPALIDAD DISTRITAL</v>
      </c>
      <c r="C737" s="25" t="str">
        <f ca="1">IFERROR(__xludf.DUMMYFUNCTION("""COMPUTED_VALUE"""),"MUNICIPALIDAD DISTRITAL DE TARAY")</f>
        <v>MUNICIPALIDAD DISTRITAL DE TARAY</v>
      </c>
      <c r="D737" s="25" t="str">
        <f ca="1">IFERROR(__xludf.DUMMYFUNCTION("""COMPUTED_VALUE"""),"CUZCO")</f>
        <v>CUZCO</v>
      </c>
      <c r="E737" s="25" t="str">
        <f ca="1">IFERROR(__xludf.DUMMYFUNCTION("""COMPUTED_VALUE"""),"CUZCO")</f>
        <v>CUZCO</v>
      </c>
      <c r="F737" s="25" t="str">
        <f ca="1">IFERROR(__xludf.DUMMYFUNCTION("""COMPUTED_VALUE"""),"CALCA")</f>
        <v>CALCA</v>
      </c>
      <c r="G737" s="25" t="str">
        <f ca="1">IFERROR(__xludf.DUMMYFUNCTION("""COMPUTED_VALUE"""),"TARAY")</f>
        <v>TARAY</v>
      </c>
      <c r="H737" s="25" t="str">
        <f ca="1">IFERROR(__xludf.DUMMYFUNCTION("""COMPUTED_VALUE"""),"RURAL")</f>
        <v>RURAL</v>
      </c>
      <c r="I737" s="25" t="str">
        <f ca="1">IFERROR(__xludf.DUMMYFUNCTION("""COMPUTED_VALUE"""),"Prioridad 2")</f>
        <v>Prioridad 2</v>
      </c>
      <c r="J737" s="43" t="s">
        <v>262</v>
      </c>
    </row>
    <row r="738" spans="2:10">
      <c r="B738" s="25" t="str">
        <f ca="1">IFERROR(__xludf.DUMMYFUNCTION("""COMPUTED_VALUE"""),"MUNICIPALIDAD DISTRITAL")</f>
        <v>MUNICIPALIDAD DISTRITAL</v>
      </c>
      <c r="C738" s="25" t="str">
        <f ca="1">IFERROR(__xludf.DUMMYFUNCTION("""COMPUTED_VALUE"""),"MUNICIPALIDAD DISTRITAL DE YANATILE")</f>
        <v>MUNICIPALIDAD DISTRITAL DE YANATILE</v>
      </c>
      <c r="D738" s="25" t="str">
        <f ca="1">IFERROR(__xludf.DUMMYFUNCTION("""COMPUTED_VALUE"""),"CUZCO")</f>
        <v>CUZCO</v>
      </c>
      <c r="E738" s="25" t="str">
        <f ca="1">IFERROR(__xludf.DUMMYFUNCTION("""COMPUTED_VALUE"""),"CUZCO")</f>
        <v>CUZCO</v>
      </c>
      <c r="F738" s="25" t="str">
        <f ca="1">IFERROR(__xludf.DUMMYFUNCTION("""COMPUTED_VALUE"""),"CALCA")</f>
        <v>CALCA</v>
      </c>
      <c r="G738" s="25" t="str">
        <f ca="1">IFERROR(__xludf.DUMMYFUNCTION("""COMPUTED_VALUE"""),"YANATILE")</f>
        <v>YANATILE</v>
      </c>
      <c r="H738" s="25" t="str">
        <f ca="1">IFERROR(__xludf.DUMMYFUNCTION("""COMPUTED_VALUE"""),"RURAL")</f>
        <v>RURAL</v>
      </c>
      <c r="I738" s="25" t="str">
        <f ca="1">IFERROR(__xludf.DUMMYFUNCTION("""COMPUTED_VALUE"""),"Prioridad 2")</f>
        <v>Prioridad 2</v>
      </c>
      <c r="J738" s="43" t="s">
        <v>262</v>
      </c>
    </row>
    <row r="739" spans="2:10">
      <c r="B739" s="25" t="str">
        <f ca="1">IFERROR(__xludf.DUMMYFUNCTION("""COMPUTED_VALUE"""),"MUNICIPALIDAD PROVINCIAL")</f>
        <v>MUNICIPALIDAD PROVINCIAL</v>
      </c>
      <c r="C739" s="25" t="str">
        <f ca="1">IFERROR(__xludf.DUMMYFUNCTION("""COMPUTED_VALUE"""),"MUNICIPALIDAD PROVINCIAL DE CANAS")</f>
        <v>MUNICIPALIDAD PROVINCIAL DE CANAS</v>
      </c>
      <c r="D739" s="25" t="str">
        <f ca="1">IFERROR(__xludf.DUMMYFUNCTION("""COMPUTED_VALUE"""),"CUZCO")</f>
        <v>CUZCO</v>
      </c>
      <c r="E739" s="25" t="str">
        <f ca="1">IFERROR(__xludf.DUMMYFUNCTION("""COMPUTED_VALUE"""),"CUZCO")</f>
        <v>CUZCO</v>
      </c>
      <c r="F739" s="25" t="str">
        <f ca="1">IFERROR(__xludf.DUMMYFUNCTION("""COMPUTED_VALUE"""),"CANAS")</f>
        <v>CANAS</v>
      </c>
      <c r="G739" s="25" t="str">
        <f ca="1">IFERROR(__xludf.DUMMYFUNCTION("""COMPUTED_VALUE"""),"YANAOCA")</f>
        <v>YANAOCA</v>
      </c>
      <c r="H739" s="25" t="str">
        <f ca="1">IFERROR(__xludf.DUMMYFUNCTION("""COMPUTED_VALUE"""),"RURAL")</f>
        <v>RURAL</v>
      </c>
      <c r="I739" s="25" t="str">
        <f ca="1">IFERROR(__xludf.DUMMYFUNCTION("""COMPUTED_VALUE"""),"Prioridad 1")</f>
        <v>Prioridad 1</v>
      </c>
      <c r="J739" s="43" t="s">
        <v>262</v>
      </c>
    </row>
    <row r="740" spans="2:10">
      <c r="B740" s="25" t="str">
        <f ca="1">IFERROR(__xludf.DUMMYFUNCTION("""COMPUTED_VALUE"""),"MUNICIPALIDAD DISTRITAL")</f>
        <v>MUNICIPALIDAD DISTRITAL</v>
      </c>
      <c r="C740" s="25" t="str">
        <f ca="1">IFERROR(__xludf.DUMMYFUNCTION("""COMPUTED_VALUE"""),"MUNICIPALIDAD DISTRITAL DE CHECCA")</f>
        <v>MUNICIPALIDAD DISTRITAL DE CHECCA</v>
      </c>
      <c r="D740" s="25" t="str">
        <f ca="1">IFERROR(__xludf.DUMMYFUNCTION("""COMPUTED_VALUE"""),"CUZCO")</f>
        <v>CUZCO</v>
      </c>
      <c r="E740" s="25" t="str">
        <f ca="1">IFERROR(__xludf.DUMMYFUNCTION("""COMPUTED_VALUE"""),"CUZCO")</f>
        <v>CUZCO</v>
      </c>
      <c r="F740" s="25" t="str">
        <f ca="1">IFERROR(__xludf.DUMMYFUNCTION("""COMPUTED_VALUE"""),"CANAS")</f>
        <v>CANAS</v>
      </c>
      <c r="G740" s="25" t="str">
        <f ca="1">IFERROR(__xludf.DUMMYFUNCTION("""COMPUTED_VALUE"""),"CHECCA")</f>
        <v>CHECCA</v>
      </c>
      <c r="H740" s="25" t="str">
        <f ca="1">IFERROR(__xludf.DUMMYFUNCTION("""COMPUTED_VALUE"""),"RURAL")</f>
        <v>RURAL</v>
      </c>
      <c r="I740" s="25" t="str">
        <f ca="1">IFERROR(__xludf.DUMMYFUNCTION("""COMPUTED_VALUE"""),"Prioridad 4")</f>
        <v>Prioridad 4</v>
      </c>
      <c r="J740" s="43" t="s">
        <v>262</v>
      </c>
    </row>
    <row r="741" spans="2:10">
      <c r="B741" s="25" t="str">
        <f ca="1">IFERROR(__xludf.DUMMYFUNCTION("""COMPUTED_VALUE"""),"MUNICIPALIDAD DISTRITAL")</f>
        <v>MUNICIPALIDAD DISTRITAL</v>
      </c>
      <c r="C741" s="25" t="str">
        <f ca="1">IFERROR(__xludf.DUMMYFUNCTION("""COMPUTED_VALUE"""),"MUNICIPALIDAD DISTRITAL DE KUNTURKANKI")</f>
        <v>MUNICIPALIDAD DISTRITAL DE KUNTURKANKI</v>
      </c>
      <c r="D741" s="25" t="str">
        <f ca="1">IFERROR(__xludf.DUMMYFUNCTION("""COMPUTED_VALUE"""),"CUZCO")</f>
        <v>CUZCO</v>
      </c>
      <c r="E741" s="25" t="str">
        <f ca="1">IFERROR(__xludf.DUMMYFUNCTION("""COMPUTED_VALUE"""),"CUZCO")</f>
        <v>CUZCO</v>
      </c>
      <c r="F741" s="25" t="str">
        <f ca="1">IFERROR(__xludf.DUMMYFUNCTION("""COMPUTED_VALUE"""),"CANAS")</f>
        <v>CANAS</v>
      </c>
      <c r="G741" s="25" t="str">
        <f ca="1">IFERROR(__xludf.DUMMYFUNCTION("""COMPUTED_VALUE"""),"KUNTURKANKI")</f>
        <v>KUNTURKANKI</v>
      </c>
      <c r="H741" s="25" t="str">
        <f ca="1">IFERROR(__xludf.DUMMYFUNCTION("""COMPUTED_VALUE"""),"RURAL")</f>
        <v>RURAL</v>
      </c>
      <c r="I741" s="25" t="str">
        <f ca="1">IFERROR(__xludf.DUMMYFUNCTION("""COMPUTED_VALUE"""),"Prioridad 3")</f>
        <v>Prioridad 3</v>
      </c>
      <c r="J741" s="43" t="s">
        <v>262</v>
      </c>
    </row>
    <row r="742" spans="2:10">
      <c r="B742" s="25" t="str">
        <f ca="1">IFERROR(__xludf.DUMMYFUNCTION("""COMPUTED_VALUE"""),"MUNICIPALIDAD DISTRITAL")</f>
        <v>MUNICIPALIDAD DISTRITAL</v>
      </c>
      <c r="C742" s="25" t="str">
        <f ca="1">IFERROR(__xludf.DUMMYFUNCTION("""COMPUTED_VALUE"""),"MUNICIPALIDAD DISTRITAL DE LANGUI")</f>
        <v>MUNICIPALIDAD DISTRITAL DE LANGUI</v>
      </c>
      <c r="D742" s="25" t="str">
        <f ca="1">IFERROR(__xludf.DUMMYFUNCTION("""COMPUTED_VALUE"""),"CUZCO")</f>
        <v>CUZCO</v>
      </c>
      <c r="E742" s="25" t="str">
        <f ca="1">IFERROR(__xludf.DUMMYFUNCTION("""COMPUTED_VALUE"""),"CUZCO")</f>
        <v>CUZCO</v>
      </c>
      <c r="F742" s="25" t="str">
        <f ca="1">IFERROR(__xludf.DUMMYFUNCTION("""COMPUTED_VALUE"""),"CANAS")</f>
        <v>CANAS</v>
      </c>
      <c r="G742" s="25" t="str">
        <f ca="1">IFERROR(__xludf.DUMMYFUNCTION("""COMPUTED_VALUE"""),"LANGUI")</f>
        <v>LANGUI</v>
      </c>
      <c r="H742" s="25" t="str">
        <f ca="1">IFERROR(__xludf.DUMMYFUNCTION("""COMPUTED_VALUE"""),"RURAL")</f>
        <v>RURAL</v>
      </c>
      <c r="I742" s="25" t="str">
        <f ca="1">IFERROR(__xludf.DUMMYFUNCTION("""COMPUTED_VALUE"""),"Prioridad 2")</f>
        <v>Prioridad 2</v>
      </c>
      <c r="J742" s="43" t="s">
        <v>262</v>
      </c>
    </row>
    <row r="743" spans="2:10">
      <c r="B743" s="25" t="str">
        <f ca="1">IFERROR(__xludf.DUMMYFUNCTION("""COMPUTED_VALUE"""),"MUNICIPALIDAD DISTRITAL")</f>
        <v>MUNICIPALIDAD DISTRITAL</v>
      </c>
      <c r="C743" s="25" t="str">
        <f ca="1">IFERROR(__xludf.DUMMYFUNCTION("""COMPUTED_VALUE"""),"MUNICIPALIDAD DISTRITAL DE LAYO")</f>
        <v>MUNICIPALIDAD DISTRITAL DE LAYO</v>
      </c>
      <c r="D743" s="25" t="str">
        <f ca="1">IFERROR(__xludf.DUMMYFUNCTION("""COMPUTED_VALUE"""),"CUZCO")</f>
        <v>CUZCO</v>
      </c>
      <c r="E743" s="25" t="str">
        <f ca="1">IFERROR(__xludf.DUMMYFUNCTION("""COMPUTED_VALUE"""),"CUZCO")</f>
        <v>CUZCO</v>
      </c>
      <c r="F743" s="25" t="str">
        <f ca="1">IFERROR(__xludf.DUMMYFUNCTION("""COMPUTED_VALUE"""),"CANAS")</f>
        <v>CANAS</v>
      </c>
      <c r="G743" s="25" t="str">
        <f ca="1">IFERROR(__xludf.DUMMYFUNCTION("""COMPUTED_VALUE"""),"LAYO")</f>
        <v>LAYO</v>
      </c>
      <c r="H743" s="25" t="str">
        <f ca="1">IFERROR(__xludf.DUMMYFUNCTION("""COMPUTED_VALUE"""),"RURAL")</f>
        <v>RURAL</v>
      </c>
      <c r="I743" s="25" t="str">
        <f ca="1">IFERROR(__xludf.DUMMYFUNCTION("""COMPUTED_VALUE"""),"Prioridad 5")</f>
        <v>Prioridad 5</v>
      </c>
      <c r="J743" s="43" t="s">
        <v>262</v>
      </c>
    </row>
    <row r="744" spans="2:10">
      <c r="B744" s="25" t="str">
        <f ca="1">IFERROR(__xludf.DUMMYFUNCTION("""COMPUTED_VALUE"""),"MUNICIPALIDAD DISTRITAL")</f>
        <v>MUNICIPALIDAD DISTRITAL</v>
      </c>
      <c r="C744" s="25" t="str">
        <f ca="1">IFERROR(__xludf.DUMMYFUNCTION("""COMPUTED_VALUE"""),"MUNICIPALIDAD DISTRITAL DE PAMPAMARCA EN CANAS")</f>
        <v>MUNICIPALIDAD DISTRITAL DE PAMPAMARCA EN CANAS</v>
      </c>
      <c r="D744" s="25" t="str">
        <f ca="1">IFERROR(__xludf.DUMMYFUNCTION("""COMPUTED_VALUE"""),"CUZCO")</f>
        <v>CUZCO</v>
      </c>
      <c r="E744" s="25" t="str">
        <f ca="1">IFERROR(__xludf.DUMMYFUNCTION("""COMPUTED_VALUE"""),"CUZCO")</f>
        <v>CUZCO</v>
      </c>
      <c r="F744" s="25" t="str">
        <f ca="1">IFERROR(__xludf.DUMMYFUNCTION("""COMPUTED_VALUE"""),"CANAS")</f>
        <v>CANAS</v>
      </c>
      <c r="G744" s="25" t="str">
        <f ca="1">IFERROR(__xludf.DUMMYFUNCTION("""COMPUTED_VALUE"""),"PAMPAMARCA")</f>
        <v>PAMPAMARCA</v>
      </c>
      <c r="H744" s="25" t="str">
        <f ca="1">IFERROR(__xludf.DUMMYFUNCTION("""COMPUTED_VALUE"""),"RURAL")</f>
        <v>RURAL</v>
      </c>
      <c r="I744" s="25" t="str">
        <f ca="1">IFERROR(__xludf.DUMMYFUNCTION("""COMPUTED_VALUE"""),"Prioridad 4")</f>
        <v>Prioridad 4</v>
      </c>
      <c r="J744" s="43" t="s">
        <v>262</v>
      </c>
    </row>
    <row r="745" spans="2:10">
      <c r="B745" s="25" t="str">
        <f ca="1">IFERROR(__xludf.DUMMYFUNCTION("""COMPUTED_VALUE"""),"MUNICIPALIDAD DISTRITAL")</f>
        <v>MUNICIPALIDAD DISTRITAL</v>
      </c>
      <c r="C745" s="25" t="str">
        <f ca="1">IFERROR(__xludf.DUMMYFUNCTION("""COMPUTED_VALUE"""),"MUNICIPALIDAD DISTRITAL DE QUEHUE")</f>
        <v>MUNICIPALIDAD DISTRITAL DE QUEHUE</v>
      </c>
      <c r="D745" s="25" t="str">
        <f ca="1">IFERROR(__xludf.DUMMYFUNCTION("""COMPUTED_VALUE"""),"CUZCO")</f>
        <v>CUZCO</v>
      </c>
      <c r="E745" s="25" t="str">
        <f ca="1">IFERROR(__xludf.DUMMYFUNCTION("""COMPUTED_VALUE"""),"CUZCO")</f>
        <v>CUZCO</v>
      </c>
      <c r="F745" s="25" t="str">
        <f ca="1">IFERROR(__xludf.DUMMYFUNCTION("""COMPUTED_VALUE"""),"CANAS")</f>
        <v>CANAS</v>
      </c>
      <c r="G745" s="25" t="str">
        <f ca="1">IFERROR(__xludf.DUMMYFUNCTION("""COMPUTED_VALUE"""),"QUEHUE")</f>
        <v>QUEHUE</v>
      </c>
      <c r="H745" s="25" t="str">
        <f ca="1">IFERROR(__xludf.DUMMYFUNCTION("""COMPUTED_VALUE"""),"RURAL")</f>
        <v>RURAL</v>
      </c>
      <c r="I745" s="25" t="str">
        <f ca="1">IFERROR(__xludf.DUMMYFUNCTION("""COMPUTED_VALUE"""),"Prioridad 5")</f>
        <v>Prioridad 5</v>
      </c>
      <c r="J745" s="43" t="s">
        <v>262</v>
      </c>
    </row>
    <row r="746" spans="2:10">
      <c r="B746" s="25" t="str">
        <f ca="1">IFERROR(__xludf.DUMMYFUNCTION("""COMPUTED_VALUE"""),"MUNICIPALIDAD DISTRITAL")</f>
        <v>MUNICIPALIDAD DISTRITAL</v>
      </c>
      <c r="C746" s="25" t="str">
        <f ca="1">IFERROR(__xludf.DUMMYFUNCTION("""COMPUTED_VALUE"""),"MUNICIPALIDAD DISTRITAL DE TUPAC AMARU")</f>
        <v>MUNICIPALIDAD DISTRITAL DE TUPAC AMARU</v>
      </c>
      <c r="D746" s="25" t="str">
        <f ca="1">IFERROR(__xludf.DUMMYFUNCTION("""COMPUTED_VALUE"""),"CUZCO")</f>
        <v>CUZCO</v>
      </c>
      <c r="E746" s="25" t="str">
        <f ca="1">IFERROR(__xludf.DUMMYFUNCTION("""COMPUTED_VALUE"""),"CUZCO")</f>
        <v>CUZCO</v>
      </c>
      <c r="F746" s="25" t="str">
        <f ca="1">IFERROR(__xludf.DUMMYFUNCTION("""COMPUTED_VALUE"""),"CANAS")</f>
        <v>CANAS</v>
      </c>
      <c r="G746" s="25" t="str">
        <f ca="1">IFERROR(__xludf.DUMMYFUNCTION("""COMPUTED_VALUE"""),"TUPAC AMARU")</f>
        <v>TUPAC AMARU</v>
      </c>
      <c r="H746" s="25" t="str">
        <f ca="1">IFERROR(__xludf.DUMMYFUNCTION("""COMPUTED_VALUE"""),"RURAL")</f>
        <v>RURAL</v>
      </c>
      <c r="I746" s="25" t="str">
        <f ca="1">IFERROR(__xludf.DUMMYFUNCTION("""COMPUTED_VALUE"""),"Prioridad 4")</f>
        <v>Prioridad 4</v>
      </c>
      <c r="J746" s="43" t="s">
        <v>262</v>
      </c>
    </row>
    <row r="747" spans="2:10">
      <c r="B747" s="25" t="str">
        <f ca="1">IFERROR(__xludf.DUMMYFUNCTION("""COMPUTED_VALUE"""),"MUNICIPALIDAD PROVINCIAL")</f>
        <v>MUNICIPALIDAD PROVINCIAL</v>
      </c>
      <c r="C747" s="25" t="str">
        <f ca="1">IFERROR(__xludf.DUMMYFUNCTION("""COMPUTED_VALUE"""),"MUNICIPALIDAD PROVINCIAL DE CANCHIS")</f>
        <v>MUNICIPALIDAD PROVINCIAL DE CANCHIS</v>
      </c>
      <c r="D747" s="25" t="str">
        <f ca="1">IFERROR(__xludf.DUMMYFUNCTION("""COMPUTED_VALUE"""),"CUZCO")</f>
        <v>CUZCO</v>
      </c>
      <c r="E747" s="25" t="str">
        <f ca="1">IFERROR(__xludf.DUMMYFUNCTION("""COMPUTED_VALUE"""),"CUZCO")</f>
        <v>CUZCO</v>
      </c>
      <c r="F747" s="25" t="str">
        <f ca="1">IFERROR(__xludf.DUMMYFUNCTION("""COMPUTED_VALUE"""),"CANCHIS")</f>
        <v>CANCHIS</v>
      </c>
      <c r="G747" s="25" t="str">
        <f ca="1">IFERROR(__xludf.DUMMYFUNCTION("""COMPUTED_VALUE"""),"SICUANI")</f>
        <v>SICUANI</v>
      </c>
      <c r="H747" s="25" t="str">
        <f ca="1">IFERROR(__xludf.DUMMYFUNCTION("""COMPUTED_VALUE"""),"URBANO")</f>
        <v>URBANO</v>
      </c>
      <c r="I747" s="25" t="str">
        <f ca="1">IFERROR(__xludf.DUMMYFUNCTION("""COMPUTED_VALUE"""),"Prioridad 1")</f>
        <v>Prioridad 1</v>
      </c>
      <c r="J747" s="43" t="s">
        <v>262</v>
      </c>
    </row>
    <row r="748" spans="2:10">
      <c r="B748" s="25" t="str">
        <f ca="1">IFERROR(__xludf.DUMMYFUNCTION("""COMPUTED_VALUE"""),"MUNICIPALIDAD DISTRITAL")</f>
        <v>MUNICIPALIDAD DISTRITAL</v>
      </c>
      <c r="C748" s="25" t="str">
        <f ca="1">IFERROR(__xludf.DUMMYFUNCTION("""COMPUTED_VALUE"""),"MUNICIPALIDAD DISTRITAL DE CHECACUPE")</f>
        <v>MUNICIPALIDAD DISTRITAL DE CHECACUPE</v>
      </c>
      <c r="D748" s="25" t="str">
        <f ca="1">IFERROR(__xludf.DUMMYFUNCTION("""COMPUTED_VALUE"""),"CUZCO")</f>
        <v>CUZCO</v>
      </c>
      <c r="E748" s="25" t="str">
        <f ca="1">IFERROR(__xludf.DUMMYFUNCTION("""COMPUTED_VALUE"""),"CUZCO")</f>
        <v>CUZCO</v>
      </c>
      <c r="F748" s="25" t="str">
        <f ca="1">IFERROR(__xludf.DUMMYFUNCTION("""COMPUTED_VALUE"""),"CANCHIS")</f>
        <v>CANCHIS</v>
      </c>
      <c r="G748" s="25" t="str">
        <f ca="1">IFERROR(__xludf.DUMMYFUNCTION("""COMPUTED_VALUE"""),"CHECACUPE")</f>
        <v>CHECACUPE</v>
      </c>
      <c r="H748" s="25" t="str">
        <f ca="1">IFERROR(__xludf.DUMMYFUNCTION("""COMPUTED_VALUE"""),"RURAL")</f>
        <v>RURAL</v>
      </c>
      <c r="I748" s="25" t="str">
        <f ca="1">IFERROR(__xludf.DUMMYFUNCTION("""COMPUTED_VALUE"""),"Prioridad 2")</f>
        <v>Prioridad 2</v>
      </c>
      <c r="J748" s="43" t="s">
        <v>262</v>
      </c>
    </row>
    <row r="749" spans="2:10">
      <c r="B749" s="25" t="str">
        <f ca="1">IFERROR(__xludf.DUMMYFUNCTION("""COMPUTED_VALUE"""),"MUNICIPALIDAD DISTRITAL")</f>
        <v>MUNICIPALIDAD DISTRITAL</v>
      </c>
      <c r="C749" s="25" t="str">
        <f ca="1">IFERROR(__xludf.DUMMYFUNCTION("""COMPUTED_VALUE"""),"MUNICIPALIDAD DISTRITAL DE COMBAPATA")</f>
        <v>MUNICIPALIDAD DISTRITAL DE COMBAPATA</v>
      </c>
      <c r="D749" s="25" t="str">
        <f ca="1">IFERROR(__xludf.DUMMYFUNCTION("""COMPUTED_VALUE"""),"CUZCO")</f>
        <v>CUZCO</v>
      </c>
      <c r="E749" s="25" t="str">
        <f ca="1">IFERROR(__xludf.DUMMYFUNCTION("""COMPUTED_VALUE"""),"CUZCO")</f>
        <v>CUZCO</v>
      </c>
      <c r="F749" s="25" t="str">
        <f ca="1">IFERROR(__xludf.DUMMYFUNCTION("""COMPUTED_VALUE"""),"CANCHIS")</f>
        <v>CANCHIS</v>
      </c>
      <c r="G749" s="25" t="str">
        <f ca="1">IFERROR(__xludf.DUMMYFUNCTION("""COMPUTED_VALUE"""),"COMBAPATA")</f>
        <v>COMBAPATA</v>
      </c>
      <c r="H749" s="25" t="str">
        <f ca="1">IFERROR(__xludf.DUMMYFUNCTION("""COMPUTED_VALUE"""),"RURAL")</f>
        <v>RURAL</v>
      </c>
      <c r="I749" s="25" t="str">
        <f ca="1">IFERROR(__xludf.DUMMYFUNCTION("""COMPUTED_VALUE"""),"Prioridad 2")</f>
        <v>Prioridad 2</v>
      </c>
      <c r="J749" s="43" t="s">
        <v>262</v>
      </c>
    </row>
    <row r="750" spans="2:10">
      <c r="B750" s="25" t="str">
        <f ca="1">IFERROR(__xludf.DUMMYFUNCTION("""COMPUTED_VALUE"""),"OTROS")</f>
        <v>OTROS</v>
      </c>
      <c r="C750" s="25" t="str">
        <f ca="1">IFERROR(__xludf.DUMMYFUNCTION("""COMPUTED_VALUE"""),"ESCUELA SUPERIOR DE FORMACIÓN ARTÍSTICA PÚBLICA MARIO URTEAGA ALVARADO DE CAJAMARCA")</f>
        <v>ESCUELA SUPERIOR DE FORMACIÓN ARTÍSTICA PÚBLICA MARIO URTEAGA ALVARADO DE CAJAMARCA</v>
      </c>
      <c r="D750" s="25" t="str">
        <f ca="1">IFERROR(__xludf.DUMMYFUNCTION("""COMPUTED_VALUE"""),"CAJAMARCA")</f>
        <v>CAJAMARCA</v>
      </c>
      <c r="E750" s="25" t="str">
        <f ca="1">IFERROR(__xludf.DUMMYFUNCTION("""COMPUTED_VALUE"""),"CAJAMARCA")</f>
        <v>CAJAMARCA</v>
      </c>
      <c r="F750" s="25" t="str">
        <f ca="1">IFERROR(__xludf.DUMMYFUNCTION("""COMPUTED_VALUE"""),"CAJAMARCA")</f>
        <v>CAJAMARCA</v>
      </c>
      <c r="G750" s="25" t="str">
        <f ca="1">IFERROR(__xludf.DUMMYFUNCTION("""COMPUTED_VALUE"""),"CAJAMARCA")</f>
        <v>CAJAMARCA</v>
      </c>
      <c r="H750" s="25"/>
      <c r="I750" s="25" t="str">
        <f ca="1">IFERROR(__xludf.DUMMYFUNCTION("""COMPUTED_VALUE"""),"No aplica")</f>
        <v>No aplica</v>
      </c>
      <c r="J750" s="43" t="s">
        <v>262</v>
      </c>
    </row>
    <row r="751" spans="2:10">
      <c r="B751" s="25" t="str">
        <f ca="1">IFERROR(__xludf.DUMMYFUNCTION("""COMPUTED_VALUE"""),"MUNICIPALIDAD DISTRITAL")</f>
        <v>MUNICIPALIDAD DISTRITAL</v>
      </c>
      <c r="C751" s="25" t="str">
        <f ca="1">IFERROR(__xludf.DUMMYFUNCTION("""COMPUTED_VALUE"""),"MUNICIPALIDAD DISTRITAL DE MARANGANI")</f>
        <v>MUNICIPALIDAD DISTRITAL DE MARANGANI</v>
      </c>
      <c r="D751" s="25" t="str">
        <f ca="1">IFERROR(__xludf.DUMMYFUNCTION("""COMPUTED_VALUE"""),"CUZCO")</f>
        <v>CUZCO</v>
      </c>
      <c r="E751" s="25" t="str">
        <f ca="1">IFERROR(__xludf.DUMMYFUNCTION("""COMPUTED_VALUE"""),"CUZCO")</f>
        <v>CUZCO</v>
      </c>
      <c r="F751" s="25" t="str">
        <f ca="1">IFERROR(__xludf.DUMMYFUNCTION("""COMPUTED_VALUE"""),"CANCHIS")</f>
        <v>CANCHIS</v>
      </c>
      <c r="G751" s="25" t="str">
        <f ca="1">IFERROR(__xludf.DUMMYFUNCTION("""COMPUTED_VALUE"""),"MARANGANI")</f>
        <v>MARANGANI</v>
      </c>
      <c r="H751" s="25" t="str">
        <f ca="1">IFERROR(__xludf.DUMMYFUNCTION("""COMPUTED_VALUE"""),"RURAL")</f>
        <v>RURAL</v>
      </c>
      <c r="I751" s="25" t="str">
        <f ca="1">IFERROR(__xludf.DUMMYFUNCTION("""COMPUTED_VALUE"""),"Prioridad 2")</f>
        <v>Prioridad 2</v>
      </c>
      <c r="J751" s="43" t="s">
        <v>262</v>
      </c>
    </row>
    <row r="752" spans="2:10">
      <c r="B752" s="25" t="str">
        <f ca="1">IFERROR(__xludf.DUMMYFUNCTION("""COMPUTED_VALUE"""),"MUNICIPALIDAD DISTRITAL")</f>
        <v>MUNICIPALIDAD DISTRITAL</v>
      </c>
      <c r="C752" s="25" t="str">
        <f ca="1">IFERROR(__xludf.DUMMYFUNCTION("""COMPUTED_VALUE"""),"MUNICIPALIDAD DISTRITAL DE PITUMARCA")</f>
        <v>MUNICIPALIDAD DISTRITAL DE PITUMARCA</v>
      </c>
      <c r="D752" s="25" t="str">
        <f ca="1">IFERROR(__xludf.DUMMYFUNCTION("""COMPUTED_VALUE"""),"CUZCO")</f>
        <v>CUZCO</v>
      </c>
      <c r="E752" s="25" t="str">
        <f ca="1">IFERROR(__xludf.DUMMYFUNCTION("""COMPUTED_VALUE"""),"CUZCO")</f>
        <v>CUZCO</v>
      </c>
      <c r="F752" s="25" t="str">
        <f ca="1">IFERROR(__xludf.DUMMYFUNCTION("""COMPUTED_VALUE"""),"CANCHIS")</f>
        <v>CANCHIS</v>
      </c>
      <c r="G752" s="25" t="str">
        <f ca="1">IFERROR(__xludf.DUMMYFUNCTION("""COMPUTED_VALUE"""),"PITUMARCA")</f>
        <v>PITUMARCA</v>
      </c>
      <c r="H752" s="25" t="str">
        <f ca="1">IFERROR(__xludf.DUMMYFUNCTION("""COMPUTED_VALUE"""),"URBANO")</f>
        <v>URBANO</v>
      </c>
      <c r="I752" s="25" t="str">
        <f ca="1">IFERROR(__xludf.DUMMYFUNCTION("""COMPUTED_VALUE"""),"Prioridad 3")</f>
        <v>Prioridad 3</v>
      </c>
      <c r="J752" s="43" t="s">
        <v>262</v>
      </c>
    </row>
    <row r="753" spans="2:10">
      <c r="B753" s="25" t="str">
        <f ca="1">IFERROR(__xludf.DUMMYFUNCTION("""COMPUTED_VALUE"""),"MUNICIPALIDAD DISTRITAL")</f>
        <v>MUNICIPALIDAD DISTRITAL</v>
      </c>
      <c r="C753" s="25" t="str">
        <f ca="1">IFERROR(__xludf.DUMMYFUNCTION("""COMPUTED_VALUE"""),"MUNICIPALIDAD DISTRITAL DE SAN PABLO EN CANCHIS")</f>
        <v>MUNICIPALIDAD DISTRITAL DE SAN PABLO EN CANCHIS</v>
      </c>
      <c r="D753" s="25" t="str">
        <f ca="1">IFERROR(__xludf.DUMMYFUNCTION("""COMPUTED_VALUE"""),"CUZCO")</f>
        <v>CUZCO</v>
      </c>
      <c r="E753" s="25" t="str">
        <f ca="1">IFERROR(__xludf.DUMMYFUNCTION("""COMPUTED_VALUE"""),"CUZCO")</f>
        <v>CUZCO</v>
      </c>
      <c r="F753" s="25" t="str">
        <f ca="1">IFERROR(__xludf.DUMMYFUNCTION("""COMPUTED_VALUE"""),"CANCHIS")</f>
        <v>CANCHIS</v>
      </c>
      <c r="G753" s="25" t="str">
        <f ca="1">IFERROR(__xludf.DUMMYFUNCTION("""COMPUTED_VALUE"""),"SAN PABLO")</f>
        <v>SAN PABLO</v>
      </c>
      <c r="H753" s="25" t="str">
        <f ca="1">IFERROR(__xludf.DUMMYFUNCTION("""COMPUTED_VALUE"""),"RURAL")</f>
        <v>RURAL</v>
      </c>
      <c r="I753" s="25" t="str">
        <f ca="1">IFERROR(__xludf.DUMMYFUNCTION("""COMPUTED_VALUE"""),"Prioridad 5")</f>
        <v>Prioridad 5</v>
      </c>
      <c r="J753" s="43" t="s">
        <v>262</v>
      </c>
    </row>
    <row r="754" spans="2:10">
      <c r="B754" s="25" t="str">
        <f ca="1">IFERROR(__xludf.DUMMYFUNCTION("""COMPUTED_VALUE"""),"MUNICIPALIDAD DISTRITAL")</f>
        <v>MUNICIPALIDAD DISTRITAL</v>
      </c>
      <c r="C754" s="25" t="str">
        <f ca="1">IFERROR(__xludf.DUMMYFUNCTION("""COMPUTED_VALUE"""),"MUNICIPALIDAD DISTRITAL DE SAN PEDRO EN CANCHIS")</f>
        <v>MUNICIPALIDAD DISTRITAL DE SAN PEDRO EN CANCHIS</v>
      </c>
      <c r="D754" s="25" t="str">
        <f ca="1">IFERROR(__xludf.DUMMYFUNCTION("""COMPUTED_VALUE"""),"CUZCO")</f>
        <v>CUZCO</v>
      </c>
      <c r="E754" s="25" t="str">
        <f ca="1">IFERROR(__xludf.DUMMYFUNCTION("""COMPUTED_VALUE"""),"CUZCO")</f>
        <v>CUZCO</v>
      </c>
      <c r="F754" s="25" t="str">
        <f ca="1">IFERROR(__xludf.DUMMYFUNCTION("""COMPUTED_VALUE"""),"CANCHIS")</f>
        <v>CANCHIS</v>
      </c>
      <c r="G754" s="25" t="str">
        <f ca="1">IFERROR(__xludf.DUMMYFUNCTION("""COMPUTED_VALUE"""),"SAN PEDRO")</f>
        <v>SAN PEDRO</v>
      </c>
      <c r="H754" s="25" t="str">
        <f ca="1">IFERROR(__xludf.DUMMYFUNCTION("""COMPUTED_VALUE"""),"RURAL")</f>
        <v>RURAL</v>
      </c>
      <c r="I754" s="25" t="str">
        <f ca="1">IFERROR(__xludf.DUMMYFUNCTION("""COMPUTED_VALUE"""),"Prioridad 2")</f>
        <v>Prioridad 2</v>
      </c>
      <c r="J754" s="43" t="s">
        <v>262</v>
      </c>
    </row>
    <row r="755" spans="2:10">
      <c r="B755" s="25" t="str">
        <f ca="1">IFERROR(__xludf.DUMMYFUNCTION("""COMPUTED_VALUE"""),"MUNICIPALIDAD DISTRITAL")</f>
        <v>MUNICIPALIDAD DISTRITAL</v>
      </c>
      <c r="C755" s="25" t="str">
        <f ca="1">IFERROR(__xludf.DUMMYFUNCTION("""COMPUTED_VALUE"""),"MUNICIPALIDAD DISTRITAL DE TINTA")</f>
        <v>MUNICIPALIDAD DISTRITAL DE TINTA</v>
      </c>
      <c r="D755" s="25" t="str">
        <f ca="1">IFERROR(__xludf.DUMMYFUNCTION("""COMPUTED_VALUE"""),"CUZCO")</f>
        <v>CUZCO</v>
      </c>
      <c r="E755" s="25" t="str">
        <f ca="1">IFERROR(__xludf.DUMMYFUNCTION("""COMPUTED_VALUE"""),"CUZCO")</f>
        <v>CUZCO</v>
      </c>
      <c r="F755" s="25" t="str">
        <f ca="1">IFERROR(__xludf.DUMMYFUNCTION("""COMPUTED_VALUE"""),"CANCHIS")</f>
        <v>CANCHIS</v>
      </c>
      <c r="G755" s="25" t="str">
        <f ca="1">IFERROR(__xludf.DUMMYFUNCTION("""COMPUTED_VALUE"""),"TINTA")</f>
        <v>TINTA</v>
      </c>
      <c r="H755" s="25" t="str">
        <f ca="1">IFERROR(__xludf.DUMMYFUNCTION("""COMPUTED_VALUE"""),"RURAL")</f>
        <v>RURAL</v>
      </c>
      <c r="I755" s="25" t="str">
        <f ca="1">IFERROR(__xludf.DUMMYFUNCTION("""COMPUTED_VALUE"""),"Prioridad 2")</f>
        <v>Prioridad 2</v>
      </c>
      <c r="J755" s="43" t="s">
        <v>262</v>
      </c>
    </row>
    <row r="756" spans="2:10">
      <c r="B756" s="25" t="str">
        <f ca="1">IFERROR(__xludf.DUMMYFUNCTION("""COMPUTED_VALUE"""),"MUNICIPALIDAD PROVINCIAL")</f>
        <v>MUNICIPALIDAD PROVINCIAL</v>
      </c>
      <c r="C756" s="25" t="str">
        <f ca="1">IFERROR(__xludf.DUMMYFUNCTION("""COMPUTED_VALUE"""),"MUNICIPALIDAD PROVINCIAL DE CHUMBIVILCAS")</f>
        <v>MUNICIPALIDAD PROVINCIAL DE CHUMBIVILCAS</v>
      </c>
      <c r="D756" s="25" t="str">
        <f ca="1">IFERROR(__xludf.DUMMYFUNCTION("""COMPUTED_VALUE"""),"CUZCO")</f>
        <v>CUZCO</v>
      </c>
      <c r="E756" s="25" t="str">
        <f ca="1">IFERROR(__xludf.DUMMYFUNCTION("""COMPUTED_VALUE"""),"CUZCO")</f>
        <v>CUZCO</v>
      </c>
      <c r="F756" s="25" t="str">
        <f ca="1">IFERROR(__xludf.DUMMYFUNCTION("""COMPUTED_VALUE"""),"CHUMBIVILCAS")</f>
        <v>CHUMBIVILCAS</v>
      </c>
      <c r="G756" s="25" t="str">
        <f ca="1">IFERROR(__xludf.DUMMYFUNCTION("""COMPUTED_VALUE"""),"SANTO TOMAS")</f>
        <v>SANTO TOMAS</v>
      </c>
      <c r="H756" s="25" t="str">
        <f ca="1">IFERROR(__xludf.DUMMYFUNCTION("""COMPUTED_VALUE"""),"RURAL")</f>
        <v>RURAL</v>
      </c>
      <c r="I756" s="25" t="str">
        <f ca="1">IFERROR(__xludf.DUMMYFUNCTION("""COMPUTED_VALUE"""),"Prioridad 1")</f>
        <v>Prioridad 1</v>
      </c>
      <c r="J756" s="43" t="s">
        <v>262</v>
      </c>
    </row>
    <row r="757" spans="2:10">
      <c r="B757" s="25" t="str">
        <f ca="1">IFERROR(__xludf.DUMMYFUNCTION("""COMPUTED_VALUE"""),"MUNICIPALIDAD DISTRITAL")</f>
        <v>MUNICIPALIDAD DISTRITAL</v>
      </c>
      <c r="C757" s="25" t="str">
        <f ca="1">IFERROR(__xludf.DUMMYFUNCTION("""COMPUTED_VALUE"""),"MUNICIPALIDAD DISTRITAL DE CAPACMARCA")</f>
        <v>MUNICIPALIDAD DISTRITAL DE CAPACMARCA</v>
      </c>
      <c r="D757" s="25" t="str">
        <f ca="1">IFERROR(__xludf.DUMMYFUNCTION("""COMPUTED_VALUE"""),"CUZCO")</f>
        <v>CUZCO</v>
      </c>
      <c r="E757" s="25" t="str">
        <f ca="1">IFERROR(__xludf.DUMMYFUNCTION("""COMPUTED_VALUE"""),"CUZCO")</f>
        <v>CUZCO</v>
      </c>
      <c r="F757" s="25" t="str">
        <f ca="1">IFERROR(__xludf.DUMMYFUNCTION("""COMPUTED_VALUE"""),"CHUMBIVILCAS")</f>
        <v>CHUMBIVILCAS</v>
      </c>
      <c r="G757" s="25" t="str">
        <f ca="1">IFERROR(__xludf.DUMMYFUNCTION("""COMPUTED_VALUE"""),"CAPACMARCA")</f>
        <v>CAPACMARCA</v>
      </c>
      <c r="H757" s="25" t="str">
        <f ca="1">IFERROR(__xludf.DUMMYFUNCTION("""COMPUTED_VALUE"""),"RURAL")</f>
        <v>RURAL</v>
      </c>
      <c r="I757" s="25" t="str">
        <f ca="1">IFERROR(__xludf.DUMMYFUNCTION("""COMPUTED_VALUE"""),"Prioridad 2")</f>
        <v>Prioridad 2</v>
      </c>
      <c r="J757" s="43" t="s">
        <v>262</v>
      </c>
    </row>
    <row r="758" spans="2:10">
      <c r="B758" s="25" t="str">
        <f ca="1">IFERROR(__xludf.DUMMYFUNCTION("""COMPUTED_VALUE"""),"MUNICIPALIDAD DISTRITAL")</f>
        <v>MUNICIPALIDAD DISTRITAL</v>
      </c>
      <c r="C758" s="25" t="str">
        <f ca="1">IFERROR(__xludf.DUMMYFUNCTION("""COMPUTED_VALUE"""),"MUNICIPALIDAD DISTRITAL DE CHAMACA")</f>
        <v>MUNICIPALIDAD DISTRITAL DE CHAMACA</v>
      </c>
      <c r="D758" s="25" t="str">
        <f ca="1">IFERROR(__xludf.DUMMYFUNCTION("""COMPUTED_VALUE"""),"CUZCO")</f>
        <v>CUZCO</v>
      </c>
      <c r="E758" s="25" t="str">
        <f ca="1">IFERROR(__xludf.DUMMYFUNCTION("""COMPUTED_VALUE"""),"CUZCO")</f>
        <v>CUZCO</v>
      </c>
      <c r="F758" s="25" t="str">
        <f ca="1">IFERROR(__xludf.DUMMYFUNCTION("""COMPUTED_VALUE"""),"CHUMBIVILCAS")</f>
        <v>CHUMBIVILCAS</v>
      </c>
      <c r="G758" s="25" t="str">
        <f ca="1">IFERROR(__xludf.DUMMYFUNCTION("""COMPUTED_VALUE"""),"CHAMACA")</f>
        <v>CHAMACA</v>
      </c>
      <c r="H758" s="25" t="str">
        <f ca="1">IFERROR(__xludf.DUMMYFUNCTION("""COMPUTED_VALUE"""),"RURAL")</f>
        <v>RURAL</v>
      </c>
      <c r="I758" s="25" t="str">
        <f ca="1">IFERROR(__xludf.DUMMYFUNCTION("""COMPUTED_VALUE"""),"Prioridad 2")</f>
        <v>Prioridad 2</v>
      </c>
      <c r="J758" s="43" t="s">
        <v>262</v>
      </c>
    </row>
    <row r="759" spans="2:10">
      <c r="B759" s="25" t="str">
        <f ca="1">IFERROR(__xludf.DUMMYFUNCTION("""COMPUTED_VALUE"""),"MUNICIPALIDAD DISTRITAL")</f>
        <v>MUNICIPALIDAD DISTRITAL</v>
      </c>
      <c r="C759" s="25" t="str">
        <f ca="1">IFERROR(__xludf.DUMMYFUNCTION("""COMPUTED_VALUE"""),"MUNICIPALIDAD DISTRITAL DE COLQUEMARCA")</f>
        <v>MUNICIPALIDAD DISTRITAL DE COLQUEMARCA</v>
      </c>
      <c r="D759" s="25" t="str">
        <f ca="1">IFERROR(__xludf.DUMMYFUNCTION("""COMPUTED_VALUE"""),"CUZCO")</f>
        <v>CUZCO</v>
      </c>
      <c r="E759" s="25" t="str">
        <f ca="1">IFERROR(__xludf.DUMMYFUNCTION("""COMPUTED_VALUE"""),"CUZCO")</f>
        <v>CUZCO</v>
      </c>
      <c r="F759" s="25" t="str">
        <f ca="1">IFERROR(__xludf.DUMMYFUNCTION("""COMPUTED_VALUE"""),"CHUMBIVILCAS")</f>
        <v>CHUMBIVILCAS</v>
      </c>
      <c r="G759" s="25" t="str">
        <f ca="1">IFERROR(__xludf.DUMMYFUNCTION("""COMPUTED_VALUE"""),"COLQUEMARCA")</f>
        <v>COLQUEMARCA</v>
      </c>
      <c r="H759" s="25" t="str">
        <f ca="1">IFERROR(__xludf.DUMMYFUNCTION("""COMPUTED_VALUE"""),"RURAL")</f>
        <v>RURAL</v>
      </c>
      <c r="I759" s="25" t="str">
        <f ca="1">IFERROR(__xludf.DUMMYFUNCTION("""COMPUTED_VALUE"""),"Prioridad 3")</f>
        <v>Prioridad 3</v>
      </c>
      <c r="J759" s="43" t="s">
        <v>262</v>
      </c>
    </row>
    <row r="760" spans="2:10">
      <c r="B760" s="25" t="str">
        <f ca="1">IFERROR(__xludf.DUMMYFUNCTION("""COMPUTED_VALUE"""),"MUNICIPALIDAD DISTRITAL")</f>
        <v>MUNICIPALIDAD DISTRITAL</v>
      </c>
      <c r="C760" s="25" t="str">
        <f ca="1">IFERROR(__xludf.DUMMYFUNCTION("""COMPUTED_VALUE"""),"MUNICIPALIDAD DISTRITAL DE LIVITACA")</f>
        <v>MUNICIPALIDAD DISTRITAL DE LIVITACA</v>
      </c>
      <c r="D760" s="25" t="str">
        <f ca="1">IFERROR(__xludf.DUMMYFUNCTION("""COMPUTED_VALUE"""),"CUZCO")</f>
        <v>CUZCO</v>
      </c>
      <c r="E760" s="25" t="str">
        <f ca="1">IFERROR(__xludf.DUMMYFUNCTION("""COMPUTED_VALUE"""),"CUZCO")</f>
        <v>CUZCO</v>
      </c>
      <c r="F760" s="25" t="str">
        <f ca="1">IFERROR(__xludf.DUMMYFUNCTION("""COMPUTED_VALUE"""),"CHUMBIVILCAS")</f>
        <v>CHUMBIVILCAS</v>
      </c>
      <c r="G760" s="25" t="str">
        <f ca="1">IFERROR(__xludf.DUMMYFUNCTION("""COMPUTED_VALUE"""),"LIVITACA")</f>
        <v>LIVITACA</v>
      </c>
      <c r="H760" s="25" t="str">
        <f ca="1">IFERROR(__xludf.DUMMYFUNCTION("""COMPUTED_VALUE"""),"RURAL")</f>
        <v>RURAL</v>
      </c>
      <c r="I760" s="25" t="str">
        <f ca="1">IFERROR(__xludf.DUMMYFUNCTION("""COMPUTED_VALUE"""),"Prioridad 3")</f>
        <v>Prioridad 3</v>
      </c>
      <c r="J760" s="43" t="s">
        <v>262</v>
      </c>
    </row>
    <row r="761" spans="2:10">
      <c r="B761" s="25" t="str">
        <f ca="1">IFERROR(__xludf.DUMMYFUNCTION("""COMPUTED_VALUE"""),"MUNICIPALIDAD DISTRITAL")</f>
        <v>MUNICIPALIDAD DISTRITAL</v>
      </c>
      <c r="C761" s="25" t="str">
        <f ca="1">IFERROR(__xludf.DUMMYFUNCTION("""COMPUTED_VALUE"""),"MUNICIPALIDAD DISTRITAL DE LLUSCO")</f>
        <v>MUNICIPALIDAD DISTRITAL DE LLUSCO</v>
      </c>
      <c r="D761" s="25" t="str">
        <f ca="1">IFERROR(__xludf.DUMMYFUNCTION("""COMPUTED_VALUE"""),"CUZCO")</f>
        <v>CUZCO</v>
      </c>
      <c r="E761" s="25" t="str">
        <f ca="1">IFERROR(__xludf.DUMMYFUNCTION("""COMPUTED_VALUE"""),"CUZCO")</f>
        <v>CUZCO</v>
      </c>
      <c r="F761" s="25" t="str">
        <f ca="1">IFERROR(__xludf.DUMMYFUNCTION("""COMPUTED_VALUE"""),"CHUMBIVILCAS")</f>
        <v>CHUMBIVILCAS</v>
      </c>
      <c r="G761" s="25" t="str">
        <f ca="1">IFERROR(__xludf.DUMMYFUNCTION("""COMPUTED_VALUE"""),"LLUSCO")</f>
        <v>LLUSCO</v>
      </c>
      <c r="H761" s="25" t="str">
        <f ca="1">IFERROR(__xludf.DUMMYFUNCTION("""COMPUTED_VALUE"""),"RURAL")</f>
        <v>RURAL</v>
      </c>
      <c r="I761" s="25" t="str">
        <f ca="1">IFERROR(__xludf.DUMMYFUNCTION("""COMPUTED_VALUE"""),"Prioridad 5")</f>
        <v>Prioridad 5</v>
      </c>
      <c r="J761" s="43" t="s">
        <v>262</v>
      </c>
    </row>
    <row r="762" spans="2:10">
      <c r="B762" s="25" t="str">
        <f ca="1">IFERROR(__xludf.DUMMYFUNCTION("""COMPUTED_VALUE"""),"MUNICIPALIDAD DISTRITAL")</f>
        <v>MUNICIPALIDAD DISTRITAL</v>
      </c>
      <c r="C762" s="25" t="str">
        <f ca="1">IFERROR(__xludf.DUMMYFUNCTION("""COMPUTED_VALUE"""),"MUNICIPALIDAD DISTRITAL DE QUIÑOTA")</f>
        <v>MUNICIPALIDAD DISTRITAL DE QUIÑOTA</v>
      </c>
      <c r="D762" s="25" t="str">
        <f ca="1">IFERROR(__xludf.DUMMYFUNCTION("""COMPUTED_VALUE"""),"CUZCO")</f>
        <v>CUZCO</v>
      </c>
      <c r="E762" s="25" t="str">
        <f ca="1">IFERROR(__xludf.DUMMYFUNCTION("""COMPUTED_VALUE"""),"CUZCO")</f>
        <v>CUZCO</v>
      </c>
      <c r="F762" s="25" t="str">
        <f ca="1">IFERROR(__xludf.DUMMYFUNCTION("""COMPUTED_VALUE"""),"CHUMBIVILCAS")</f>
        <v>CHUMBIVILCAS</v>
      </c>
      <c r="G762" s="25" t="str">
        <f ca="1">IFERROR(__xludf.DUMMYFUNCTION("""COMPUTED_VALUE"""),"QUIÑOTA")</f>
        <v>QUIÑOTA</v>
      </c>
      <c r="H762" s="25" t="str">
        <f ca="1">IFERROR(__xludf.DUMMYFUNCTION("""COMPUTED_VALUE"""),"RURAL")</f>
        <v>RURAL</v>
      </c>
      <c r="I762" s="25" t="str">
        <f ca="1">IFERROR(__xludf.DUMMYFUNCTION("""COMPUTED_VALUE"""),"Prioridad 2")</f>
        <v>Prioridad 2</v>
      </c>
      <c r="J762" s="43" t="s">
        <v>262</v>
      </c>
    </row>
    <row r="763" spans="2:10">
      <c r="B763" s="25" t="str">
        <f ca="1">IFERROR(__xludf.DUMMYFUNCTION("""COMPUTED_VALUE"""),"MUNICIPALIDAD DISTRITAL")</f>
        <v>MUNICIPALIDAD DISTRITAL</v>
      </c>
      <c r="C763" s="25" t="str">
        <f ca="1">IFERROR(__xludf.DUMMYFUNCTION("""COMPUTED_VALUE"""),"MUNICIPALIDAD DISTRITAL DE VELILLE")</f>
        <v>MUNICIPALIDAD DISTRITAL DE VELILLE</v>
      </c>
      <c r="D763" s="25" t="str">
        <f ca="1">IFERROR(__xludf.DUMMYFUNCTION("""COMPUTED_VALUE"""),"CUZCO")</f>
        <v>CUZCO</v>
      </c>
      <c r="E763" s="25" t="str">
        <f ca="1">IFERROR(__xludf.DUMMYFUNCTION("""COMPUTED_VALUE"""),"CUZCO")</f>
        <v>CUZCO</v>
      </c>
      <c r="F763" s="25" t="str">
        <f ca="1">IFERROR(__xludf.DUMMYFUNCTION("""COMPUTED_VALUE"""),"CHUMBIVILCAS")</f>
        <v>CHUMBIVILCAS</v>
      </c>
      <c r="G763" s="25" t="str">
        <f ca="1">IFERROR(__xludf.DUMMYFUNCTION("""COMPUTED_VALUE"""),"VELILLE")</f>
        <v>VELILLE</v>
      </c>
      <c r="H763" s="25" t="str">
        <f ca="1">IFERROR(__xludf.DUMMYFUNCTION("""COMPUTED_VALUE"""),"RURAL")</f>
        <v>RURAL</v>
      </c>
      <c r="I763" s="25" t="str">
        <f ca="1">IFERROR(__xludf.DUMMYFUNCTION("""COMPUTED_VALUE"""),"Prioridad 2")</f>
        <v>Prioridad 2</v>
      </c>
      <c r="J763" s="43" t="s">
        <v>262</v>
      </c>
    </row>
    <row r="764" spans="2:10">
      <c r="B764" s="25" t="str">
        <f ca="1">IFERROR(__xludf.DUMMYFUNCTION("""COMPUTED_VALUE"""),"UNIVERSIDAD PRIVADA")</f>
        <v>UNIVERSIDAD PRIVADA</v>
      </c>
      <c r="C764" s="25" t="str">
        <f ca="1">IFERROR(__xludf.DUMMYFUNCTION("""COMPUTED_VALUE"""),"UNIVERSIDAD MARÍTIMA DEL PERÚ S.A.C.")</f>
        <v>UNIVERSIDAD MARÍTIMA DEL PERÚ S.A.C.</v>
      </c>
      <c r="D764" s="25" t="str">
        <f ca="1">IFERROR(__xludf.DUMMYFUNCTION("""COMPUTED_VALUE"""),"SEDE CENTRAL")</f>
        <v>SEDE CENTRAL</v>
      </c>
      <c r="E764" s="25" t="str">
        <f ca="1">IFERROR(__xludf.DUMMYFUNCTION("""COMPUTED_VALUE"""),"CALLAO")</f>
        <v>CALLAO</v>
      </c>
      <c r="F764" s="25" t="str">
        <f ca="1">IFERROR(__xludf.DUMMYFUNCTION("""COMPUTED_VALUE"""),"CALLAO")</f>
        <v>CALLAO</v>
      </c>
      <c r="G764" s="25" t="str">
        <f ca="1">IFERROR(__xludf.DUMMYFUNCTION("""COMPUTED_VALUE"""),"CALLAO")</f>
        <v>CALLAO</v>
      </c>
      <c r="H764" s="25"/>
      <c r="I764" s="25" t="str">
        <f ca="1">IFERROR(__xludf.DUMMYFUNCTION("""COMPUTED_VALUE"""),"Prioridad 5")</f>
        <v>Prioridad 5</v>
      </c>
      <c r="J764" s="43" t="s">
        <v>262</v>
      </c>
    </row>
    <row r="765" spans="2:10">
      <c r="B765" s="25" t="str">
        <f ca="1">IFERROR(__xludf.DUMMYFUNCTION("""COMPUTED_VALUE"""),"UNIVERSIDAD PÚBLICA")</f>
        <v>UNIVERSIDAD PÚBLICA</v>
      </c>
      <c r="C765" s="25" t="str">
        <f ca="1">IFERROR(__xludf.DUMMYFUNCTION("""COMPUTED_VALUE"""),"UNIVERSIDAD NACIONAL DEL CALLAO")</f>
        <v>UNIVERSIDAD NACIONAL DEL CALLAO</v>
      </c>
      <c r="D765" s="25" t="str">
        <f ca="1">IFERROR(__xludf.DUMMYFUNCTION("""COMPUTED_VALUE"""),"SEDE CENTRAL")</f>
        <v>SEDE CENTRAL</v>
      </c>
      <c r="E765" s="25" t="str">
        <f ca="1">IFERROR(__xludf.DUMMYFUNCTION("""COMPUTED_VALUE"""),"CALLAO")</f>
        <v>CALLAO</v>
      </c>
      <c r="F765" s="25" t="str">
        <f ca="1">IFERROR(__xludf.DUMMYFUNCTION("""COMPUTED_VALUE"""),"CALLAO")</f>
        <v>CALLAO</v>
      </c>
      <c r="G765" s="25" t="str">
        <f ca="1">IFERROR(__xludf.DUMMYFUNCTION("""COMPUTED_VALUE"""),"BELLAVISTA")</f>
        <v>BELLAVISTA</v>
      </c>
      <c r="H765" s="25"/>
      <c r="I765" s="25" t="str">
        <f ca="1">IFERROR(__xludf.DUMMYFUNCTION("""COMPUTED_VALUE"""),"Prioridad 1")</f>
        <v>Prioridad 1</v>
      </c>
      <c r="J765" s="43" t="s">
        <v>262</v>
      </c>
    </row>
    <row r="766" spans="2:10">
      <c r="B766" s="25" t="str">
        <f ca="1">IFERROR(__xludf.DUMMYFUNCTION("""COMPUTED_VALUE"""),"COLEGIO PROFESIONAL")</f>
        <v>COLEGIO PROFESIONAL</v>
      </c>
      <c r="C766" s="25" t="str">
        <f ca="1">IFERROR(__xludf.DUMMYFUNCTION("""COMPUTED_VALUE"""),"COLEGIO DE NOTARIOS DE AMAZONAS")</f>
        <v>COLEGIO DE NOTARIOS DE AMAZONAS</v>
      </c>
      <c r="D766" s="25" t="str">
        <f ca="1">IFERROR(__xludf.DUMMYFUNCTION("""COMPUTED_VALUE"""),"LAMBAYEQUE")</f>
        <v>LAMBAYEQUE</v>
      </c>
      <c r="E766" s="25" t="str">
        <f ca="1">IFERROR(__xludf.DUMMYFUNCTION("""COMPUTED_VALUE"""),"AMAZONAS")</f>
        <v>AMAZONAS</v>
      </c>
      <c r="F766" s="25" t="str">
        <f ca="1">IFERROR(__xludf.DUMMYFUNCTION("""COMPUTED_VALUE"""),"LUYA")</f>
        <v>LUYA</v>
      </c>
      <c r="G766" s="25" t="str">
        <f ca="1">IFERROR(__xludf.DUMMYFUNCTION("""COMPUTED_VALUE"""),"LAMUD")</f>
        <v>LAMUD</v>
      </c>
      <c r="H766" s="25"/>
      <c r="I766" s="25" t="str">
        <f ca="1">IFERROR(__xludf.DUMMYFUNCTION("""COMPUTED_VALUE"""),"Prioridad 4")</f>
        <v>Prioridad 4</v>
      </c>
      <c r="J766" s="43" t="s">
        <v>262</v>
      </c>
    </row>
    <row r="767" spans="2:10">
      <c r="B767" s="25" t="str">
        <f ca="1">IFERROR(__xludf.DUMMYFUNCTION("""COMPUTED_VALUE"""),"MUNICIPALIDAD PROVINCIAL")</f>
        <v>MUNICIPALIDAD PROVINCIAL</v>
      </c>
      <c r="C767" s="25" t="str">
        <f ca="1">IFERROR(__xludf.DUMMYFUNCTION("""COMPUTED_VALUE"""),"MUNICIPALIDAD PROVINCIAL DE CUSCO")</f>
        <v>MUNICIPALIDAD PROVINCIAL DE CUSCO</v>
      </c>
      <c r="D767" s="25" t="str">
        <f ca="1">IFERROR(__xludf.DUMMYFUNCTION("""COMPUTED_VALUE"""),"CUZCO")</f>
        <v>CUZCO</v>
      </c>
      <c r="E767" s="25" t="str">
        <f ca="1">IFERROR(__xludf.DUMMYFUNCTION("""COMPUTED_VALUE"""),"CUZCO")</f>
        <v>CUZCO</v>
      </c>
      <c r="F767" s="25" t="str">
        <f ca="1">IFERROR(__xludf.DUMMYFUNCTION("""COMPUTED_VALUE"""),"CUZCO")</f>
        <v>CUZCO</v>
      </c>
      <c r="G767" s="25" t="str">
        <f ca="1">IFERROR(__xludf.DUMMYFUNCTION("""COMPUTED_VALUE"""),"CUZCO")</f>
        <v>CUZCO</v>
      </c>
      <c r="H767" s="25" t="str">
        <f ca="1">IFERROR(__xludf.DUMMYFUNCTION("""COMPUTED_VALUE"""),"URBANO")</f>
        <v>URBANO</v>
      </c>
      <c r="I767" s="25" t="str">
        <f ca="1">IFERROR(__xludf.DUMMYFUNCTION("""COMPUTED_VALUE"""),"Prioridad 1")</f>
        <v>Prioridad 1</v>
      </c>
      <c r="J767" s="43" t="s">
        <v>262</v>
      </c>
    </row>
    <row r="768" spans="2:10">
      <c r="B768" s="25" t="str">
        <f ca="1">IFERROR(__xludf.DUMMYFUNCTION("""COMPUTED_VALUE"""),"MUNICIPALIDAD DISTRITAL")</f>
        <v>MUNICIPALIDAD DISTRITAL</v>
      </c>
      <c r="C768" s="25" t="str">
        <f ca="1">IFERROR(__xludf.DUMMYFUNCTION("""COMPUTED_VALUE"""),"MUNICIPALIDAD DISTRITAL DE SAN JERONIMO EN CUSCO")</f>
        <v>MUNICIPALIDAD DISTRITAL DE SAN JERONIMO EN CUSCO</v>
      </c>
      <c r="D768" s="25" t="str">
        <f ca="1">IFERROR(__xludf.DUMMYFUNCTION("""COMPUTED_VALUE"""),"CUZCO")</f>
        <v>CUZCO</v>
      </c>
      <c r="E768" s="25" t="str">
        <f ca="1">IFERROR(__xludf.DUMMYFUNCTION("""COMPUTED_VALUE"""),"CUZCO")</f>
        <v>CUZCO</v>
      </c>
      <c r="F768" s="25" t="str">
        <f ca="1">IFERROR(__xludf.DUMMYFUNCTION("""COMPUTED_VALUE"""),"CUZCO")</f>
        <v>CUZCO</v>
      </c>
      <c r="G768" s="25" t="str">
        <f ca="1">IFERROR(__xludf.DUMMYFUNCTION("""COMPUTED_VALUE"""),"SAN JERONIMO")</f>
        <v>SAN JERONIMO</v>
      </c>
      <c r="H768" s="25" t="str">
        <f ca="1">IFERROR(__xludf.DUMMYFUNCTION("""COMPUTED_VALUE"""),"URBANO")</f>
        <v>URBANO</v>
      </c>
      <c r="I768" s="25" t="str">
        <f ca="1">IFERROR(__xludf.DUMMYFUNCTION("""COMPUTED_VALUE"""),"Prioridad 1")</f>
        <v>Prioridad 1</v>
      </c>
      <c r="J768" s="43" t="s">
        <v>262</v>
      </c>
    </row>
    <row r="769" spans="2:10">
      <c r="B769" s="25" t="str">
        <f ca="1">IFERROR(__xludf.DUMMYFUNCTION("""COMPUTED_VALUE"""),"MUNICIPALIDAD DISTRITAL")</f>
        <v>MUNICIPALIDAD DISTRITAL</v>
      </c>
      <c r="C769" s="25" t="str">
        <f ca="1">IFERROR(__xludf.DUMMYFUNCTION("""COMPUTED_VALUE"""),"MUNICIPALIDAD DISTRITAL DE SAN SEBASTIAN")</f>
        <v>MUNICIPALIDAD DISTRITAL DE SAN SEBASTIAN</v>
      </c>
      <c r="D769" s="25" t="str">
        <f ca="1">IFERROR(__xludf.DUMMYFUNCTION("""COMPUTED_VALUE"""),"CUZCO")</f>
        <v>CUZCO</v>
      </c>
      <c r="E769" s="25" t="str">
        <f ca="1">IFERROR(__xludf.DUMMYFUNCTION("""COMPUTED_VALUE"""),"CUZCO")</f>
        <v>CUZCO</v>
      </c>
      <c r="F769" s="25" t="str">
        <f ca="1">IFERROR(__xludf.DUMMYFUNCTION("""COMPUTED_VALUE"""),"CUZCO")</f>
        <v>CUZCO</v>
      </c>
      <c r="G769" s="25" t="str">
        <f ca="1">IFERROR(__xludf.DUMMYFUNCTION("""COMPUTED_VALUE"""),"SAN SEBASTIAN")</f>
        <v>SAN SEBASTIAN</v>
      </c>
      <c r="H769" s="25" t="str">
        <f ca="1">IFERROR(__xludf.DUMMYFUNCTION("""COMPUTED_VALUE"""),"URBANO")</f>
        <v>URBANO</v>
      </c>
      <c r="I769" s="25" t="str">
        <f ca="1">IFERROR(__xludf.DUMMYFUNCTION("""COMPUTED_VALUE"""),"Prioridad 1")</f>
        <v>Prioridad 1</v>
      </c>
      <c r="J769" s="43" t="s">
        <v>262</v>
      </c>
    </row>
    <row r="770" spans="2:10">
      <c r="B770" s="25" t="str">
        <f ca="1">IFERROR(__xludf.DUMMYFUNCTION("""COMPUTED_VALUE"""),"MUNICIPALIDAD DISTRITAL")</f>
        <v>MUNICIPALIDAD DISTRITAL</v>
      </c>
      <c r="C770" s="25" t="str">
        <f ca="1">IFERROR(__xludf.DUMMYFUNCTION("""COMPUTED_VALUE"""),"MUNICIPALIDAD DISTRITAL DE SANTIAGO EN CUSCO")</f>
        <v>MUNICIPALIDAD DISTRITAL DE SANTIAGO EN CUSCO</v>
      </c>
      <c r="D770" s="25" t="str">
        <f ca="1">IFERROR(__xludf.DUMMYFUNCTION("""COMPUTED_VALUE"""),"CUZCO")</f>
        <v>CUZCO</v>
      </c>
      <c r="E770" s="25" t="str">
        <f ca="1">IFERROR(__xludf.DUMMYFUNCTION("""COMPUTED_VALUE"""),"CUZCO")</f>
        <v>CUZCO</v>
      </c>
      <c r="F770" s="25" t="str">
        <f ca="1">IFERROR(__xludf.DUMMYFUNCTION("""COMPUTED_VALUE"""),"CUZCO")</f>
        <v>CUZCO</v>
      </c>
      <c r="G770" s="25" t="str">
        <f ca="1">IFERROR(__xludf.DUMMYFUNCTION("""COMPUTED_VALUE"""),"SANTIAGO")</f>
        <v>SANTIAGO</v>
      </c>
      <c r="H770" s="25" t="str">
        <f ca="1">IFERROR(__xludf.DUMMYFUNCTION("""COMPUTED_VALUE"""),"URBANO")</f>
        <v>URBANO</v>
      </c>
      <c r="I770" s="25" t="str">
        <f ca="1">IFERROR(__xludf.DUMMYFUNCTION("""COMPUTED_VALUE"""),"Prioridad 1")</f>
        <v>Prioridad 1</v>
      </c>
      <c r="J770" s="43" t="s">
        <v>262</v>
      </c>
    </row>
    <row r="771" spans="2:10">
      <c r="B771" s="25" t="str">
        <f ca="1">IFERROR(__xludf.DUMMYFUNCTION("""COMPUTED_VALUE"""),"MUNICIPALIDAD DISTRITAL")</f>
        <v>MUNICIPALIDAD DISTRITAL</v>
      </c>
      <c r="C771" s="25" t="str">
        <f ca="1">IFERROR(__xludf.DUMMYFUNCTION("""COMPUTED_VALUE"""),"MUNICIPALIDAD DISTRITAL DE WANCHAQ")</f>
        <v>MUNICIPALIDAD DISTRITAL DE WANCHAQ</v>
      </c>
      <c r="D771" s="25" t="str">
        <f ca="1">IFERROR(__xludf.DUMMYFUNCTION("""COMPUTED_VALUE"""),"CUZCO")</f>
        <v>CUZCO</v>
      </c>
      <c r="E771" s="25" t="str">
        <f ca="1">IFERROR(__xludf.DUMMYFUNCTION("""COMPUTED_VALUE"""),"CUZCO")</f>
        <v>CUZCO</v>
      </c>
      <c r="F771" s="25" t="str">
        <f ca="1">IFERROR(__xludf.DUMMYFUNCTION("""COMPUTED_VALUE"""),"CUZCO")</f>
        <v>CUZCO</v>
      </c>
      <c r="G771" s="25" t="str">
        <f ca="1">IFERROR(__xludf.DUMMYFUNCTION("""COMPUTED_VALUE"""),"WANCHAQ")</f>
        <v>WANCHAQ</v>
      </c>
      <c r="H771" s="25" t="str">
        <f ca="1">IFERROR(__xludf.DUMMYFUNCTION("""COMPUTED_VALUE"""),"URBANO")</f>
        <v>URBANO</v>
      </c>
      <c r="I771" s="25" t="str">
        <f ca="1">IFERROR(__xludf.DUMMYFUNCTION("""COMPUTED_VALUE"""),"Prioridad 1")</f>
        <v>Prioridad 1</v>
      </c>
      <c r="J771" s="43" t="s">
        <v>262</v>
      </c>
    </row>
    <row r="772" spans="2:10">
      <c r="B772" s="25" t="str">
        <f ca="1">IFERROR(__xludf.DUMMYFUNCTION("""COMPUTED_VALUE"""),"MUNICIPALIDAD DISTRITAL")</f>
        <v>MUNICIPALIDAD DISTRITAL</v>
      </c>
      <c r="C772" s="25" t="str">
        <f ca="1">IFERROR(__xludf.DUMMYFUNCTION("""COMPUTED_VALUE"""),"MUNICIPALIDAD DISTRITAL DE CCORCA")</f>
        <v>MUNICIPALIDAD DISTRITAL DE CCORCA</v>
      </c>
      <c r="D772" s="25" t="str">
        <f ca="1">IFERROR(__xludf.DUMMYFUNCTION("""COMPUTED_VALUE"""),"CUZCO")</f>
        <v>CUZCO</v>
      </c>
      <c r="E772" s="25" t="str">
        <f ca="1">IFERROR(__xludf.DUMMYFUNCTION("""COMPUTED_VALUE"""),"CUZCO")</f>
        <v>CUZCO</v>
      </c>
      <c r="F772" s="25" t="str">
        <f ca="1">IFERROR(__xludf.DUMMYFUNCTION("""COMPUTED_VALUE"""),"CUZCO")</f>
        <v>CUZCO</v>
      </c>
      <c r="G772" s="25" t="str">
        <f ca="1">IFERROR(__xludf.DUMMYFUNCTION("""COMPUTED_VALUE"""),"CCORCA")</f>
        <v>CCORCA</v>
      </c>
      <c r="H772" s="25" t="str">
        <f ca="1">IFERROR(__xludf.DUMMYFUNCTION("""COMPUTED_VALUE"""),"RURAL")</f>
        <v>RURAL</v>
      </c>
      <c r="I772" s="25" t="str">
        <f ca="1">IFERROR(__xludf.DUMMYFUNCTION("""COMPUTED_VALUE"""),"Prioridad 2")</f>
        <v>Prioridad 2</v>
      </c>
      <c r="J772" s="43" t="s">
        <v>262</v>
      </c>
    </row>
    <row r="773" spans="2:10">
      <c r="B773" s="25" t="str">
        <f ca="1">IFERROR(__xludf.DUMMYFUNCTION("""COMPUTED_VALUE"""),"MUNICIPALIDAD DISTRITAL")</f>
        <v>MUNICIPALIDAD DISTRITAL</v>
      </c>
      <c r="C773" s="25" t="str">
        <f ca="1">IFERROR(__xludf.DUMMYFUNCTION("""COMPUTED_VALUE"""),"MUNICIPALIDAD DISTRITAL DE POROY")</f>
        <v>MUNICIPALIDAD DISTRITAL DE POROY</v>
      </c>
      <c r="D773" s="25" t="str">
        <f ca="1">IFERROR(__xludf.DUMMYFUNCTION("""COMPUTED_VALUE"""),"CUZCO")</f>
        <v>CUZCO</v>
      </c>
      <c r="E773" s="25" t="str">
        <f ca="1">IFERROR(__xludf.DUMMYFUNCTION("""COMPUTED_VALUE"""),"CUZCO")</f>
        <v>CUZCO</v>
      </c>
      <c r="F773" s="25" t="str">
        <f ca="1">IFERROR(__xludf.DUMMYFUNCTION("""COMPUTED_VALUE"""),"CUZCO")</f>
        <v>CUZCO</v>
      </c>
      <c r="G773" s="25" t="str">
        <f ca="1">IFERROR(__xludf.DUMMYFUNCTION("""COMPUTED_VALUE"""),"POROY")</f>
        <v>POROY</v>
      </c>
      <c r="H773" s="25" t="str">
        <f ca="1">IFERROR(__xludf.DUMMYFUNCTION("""COMPUTED_VALUE"""),"RURAL")</f>
        <v>RURAL</v>
      </c>
      <c r="I773" s="25" t="str">
        <f ca="1">IFERROR(__xludf.DUMMYFUNCTION("""COMPUTED_VALUE"""),"Prioridad 2")</f>
        <v>Prioridad 2</v>
      </c>
      <c r="J773" s="43" t="s">
        <v>262</v>
      </c>
    </row>
    <row r="774" spans="2:10">
      <c r="B774" s="25" t="str">
        <f ca="1">IFERROR(__xludf.DUMMYFUNCTION("""COMPUTED_VALUE"""),"MUNICIPALIDAD DISTRITAL")</f>
        <v>MUNICIPALIDAD DISTRITAL</v>
      </c>
      <c r="C774" s="25" t="str">
        <f ca="1">IFERROR(__xludf.DUMMYFUNCTION("""COMPUTED_VALUE"""),"MUNICIPALIDAD DISTRITAL DE SAYLLA")</f>
        <v>MUNICIPALIDAD DISTRITAL DE SAYLLA</v>
      </c>
      <c r="D774" s="25" t="str">
        <f ca="1">IFERROR(__xludf.DUMMYFUNCTION("""COMPUTED_VALUE"""),"CUZCO")</f>
        <v>CUZCO</v>
      </c>
      <c r="E774" s="25" t="str">
        <f ca="1">IFERROR(__xludf.DUMMYFUNCTION("""COMPUTED_VALUE"""),"CUZCO")</f>
        <v>CUZCO</v>
      </c>
      <c r="F774" s="25" t="str">
        <f ca="1">IFERROR(__xludf.DUMMYFUNCTION("""COMPUTED_VALUE"""),"CUZCO")</f>
        <v>CUZCO</v>
      </c>
      <c r="G774" s="25" t="str">
        <f ca="1">IFERROR(__xludf.DUMMYFUNCTION("""COMPUTED_VALUE"""),"SAYLLA")</f>
        <v>SAYLLA</v>
      </c>
      <c r="H774" s="25" t="str">
        <f ca="1">IFERROR(__xludf.DUMMYFUNCTION("""COMPUTED_VALUE"""),"URBANO")</f>
        <v>URBANO</v>
      </c>
      <c r="I774" s="25" t="str">
        <f ca="1">IFERROR(__xludf.DUMMYFUNCTION("""COMPUTED_VALUE"""),"Prioridad 1")</f>
        <v>Prioridad 1</v>
      </c>
      <c r="J774" s="43" t="s">
        <v>262</v>
      </c>
    </row>
    <row r="775" spans="2:10">
      <c r="B775" s="25" t="str">
        <f ca="1">IFERROR(__xludf.DUMMYFUNCTION("""COMPUTED_VALUE"""),"GOBIERNO REGIONAL")</f>
        <v>GOBIERNO REGIONAL</v>
      </c>
      <c r="C775" s="25" t="str">
        <f ca="1">IFERROR(__xludf.DUMMYFUNCTION("""COMPUTED_VALUE"""),"GOBIERNO REGIONAL DE CUSCO")</f>
        <v>GOBIERNO REGIONAL DE CUSCO</v>
      </c>
      <c r="D775" s="25" t="str">
        <f ca="1">IFERROR(__xludf.DUMMYFUNCTION("""COMPUTED_VALUE"""),"CUZCO")</f>
        <v>CUZCO</v>
      </c>
      <c r="E775" s="25" t="str">
        <f ca="1">IFERROR(__xludf.DUMMYFUNCTION("""COMPUTED_VALUE"""),"CUZCO")</f>
        <v>CUZCO</v>
      </c>
      <c r="F775" s="25" t="str">
        <f ca="1">IFERROR(__xludf.DUMMYFUNCTION("""COMPUTED_VALUE"""),"CUZCO")</f>
        <v>CUZCO</v>
      </c>
      <c r="G775" s="25" t="str">
        <f ca="1">IFERROR(__xludf.DUMMYFUNCTION("""COMPUTED_VALUE"""),"CUZCO")</f>
        <v>CUZCO</v>
      </c>
      <c r="H775" s="25" t="str">
        <f ca="1">IFERROR(__xludf.DUMMYFUNCTION("""COMPUTED_VALUE"""),"URBANO")</f>
        <v>URBANO</v>
      </c>
      <c r="I775" s="25" t="str">
        <f ca="1">IFERROR(__xludf.DUMMYFUNCTION("""COMPUTED_VALUE"""),"Prioridad 1")</f>
        <v>Prioridad 1</v>
      </c>
      <c r="J775" s="43" t="s">
        <v>262</v>
      </c>
    </row>
    <row r="776" spans="2:10">
      <c r="B776" s="25" t="str">
        <f ca="1">IFERROR(__xludf.DUMMYFUNCTION("""COMPUTED_VALUE"""),"MUNICIPALIDAD PROVINCIAL")</f>
        <v>MUNICIPALIDAD PROVINCIAL</v>
      </c>
      <c r="C776" s="25" t="str">
        <f ca="1">IFERROR(__xludf.DUMMYFUNCTION("""COMPUTED_VALUE"""),"MUNICIPALIDAD PROVINCIAL DE ESPINAR")</f>
        <v>MUNICIPALIDAD PROVINCIAL DE ESPINAR</v>
      </c>
      <c r="D776" s="25" t="str">
        <f ca="1">IFERROR(__xludf.DUMMYFUNCTION("""COMPUTED_VALUE"""),"CUZCO")</f>
        <v>CUZCO</v>
      </c>
      <c r="E776" s="25" t="str">
        <f ca="1">IFERROR(__xludf.DUMMYFUNCTION("""COMPUTED_VALUE"""),"CUZCO")</f>
        <v>CUZCO</v>
      </c>
      <c r="F776" s="25" t="str">
        <f ca="1">IFERROR(__xludf.DUMMYFUNCTION("""COMPUTED_VALUE"""),"ESPINAR")</f>
        <v>ESPINAR</v>
      </c>
      <c r="G776" s="25" t="str">
        <f ca="1">IFERROR(__xludf.DUMMYFUNCTION("""COMPUTED_VALUE"""),"ESPINAR")</f>
        <v>ESPINAR</v>
      </c>
      <c r="H776" s="25" t="str">
        <f ca="1">IFERROR(__xludf.DUMMYFUNCTION("""COMPUTED_VALUE"""),"URBANO")</f>
        <v>URBANO</v>
      </c>
      <c r="I776" s="25" t="str">
        <f ca="1">IFERROR(__xludf.DUMMYFUNCTION("""COMPUTED_VALUE"""),"Prioridad 1")</f>
        <v>Prioridad 1</v>
      </c>
      <c r="J776" s="43" t="s">
        <v>262</v>
      </c>
    </row>
    <row r="777" spans="2:10">
      <c r="B777" s="25" t="str">
        <f ca="1">IFERROR(__xludf.DUMMYFUNCTION("""COMPUTED_VALUE"""),"MUNICIPALIDAD DISTRITAL")</f>
        <v>MUNICIPALIDAD DISTRITAL</v>
      </c>
      <c r="C777" s="25" t="str">
        <f ca="1">IFERROR(__xludf.DUMMYFUNCTION("""COMPUTED_VALUE"""),"MUNICIPALIDAD DISTRITAL DE CONDOROMA")</f>
        <v>MUNICIPALIDAD DISTRITAL DE CONDOROMA</v>
      </c>
      <c r="D777" s="25" t="str">
        <f ca="1">IFERROR(__xludf.DUMMYFUNCTION("""COMPUTED_VALUE"""),"CUZCO")</f>
        <v>CUZCO</v>
      </c>
      <c r="E777" s="25" t="str">
        <f ca="1">IFERROR(__xludf.DUMMYFUNCTION("""COMPUTED_VALUE"""),"CUZCO")</f>
        <v>CUZCO</v>
      </c>
      <c r="F777" s="25" t="str">
        <f ca="1">IFERROR(__xludf.DUMMYFUNCTION("""COMPUTED_VALUE"""),"ESPINAR")</f>
        <v>ESPINAR</v>
      </c>
      <c r="G777" s="25" t="str">
        <f ca="1">IFERROR(__xludf.DUMMYFUNCTION("""COMPUTED_VALUE"""),"CONDOROMA")</f>
        <v>CONDOROMA</v>
      </c>
      <c r="H777" s="25" t="str">
        <f ca="1">IFERROR(__xludf.DUMMYFUNCTION("""COMPUTED_VALUE"""),"RURAL")</f>
        <v>RURAL</v>
      </c>
      <c r="I777" s="25" t="str">
        <f ca="1">IFERROR(__xludf.DUMMYFUNCTION("""COMPUTED_VALUE"""),"Prioridad 2")</f>
        <v>Prioridad 2</v>
      </c>
      <c r="J777" s="43" t="s">
        <v>262</v>
      </c>
    </row>
    <row r="778" spans="2:10">
      <c r="B778" s="25" t="str">
        <f ca="1">IFERROR(__xludf.DUMMYFUNCTION("""COMPUTED_VALUE"""),"MUNICIPALIDAD DISTRITAL")</f>
        <v>MUNICIPALIDAD DISTRITAL</v>
      </c>
      <c r="C778" s="25" t="str">
        <f ca="1">IFERROR(__xludf.DUMMYFUNCTION("""COMPUTED_VALUE"""),"MUNICIPALIDAD DISTRITAL DE COPORAQUE EN ESPINAR")</f>
        <v>MUNICIPALIDAD DISTRITAL DE COPORAQUE EN ESPINAR</v>
      </c>
      <c r="D778" s="25" t="str">
        <f ca="1">IFERROR(__xludf.DUMMYFUNCTION("""COMPUTED_VALUE"""),"CUZCO")</f>
        <v>CUZCO</v>
      </c>
      <c r="E778" s="25" t="str">
        <f ca="1">IFERROR(__xludf.DUMMYFUNCTION("""COMPUTED_VALUE"""),"CUZCO")</f>
        <v>CUZCO</v>
      </c>
      <c r="F778" s="25" t="str">
        <f ca="1">IFERROR(__xludf.DUMMYFUNCTION("""COMPUTED_VALUE"""),"ESPINAR")</f>
        <v>ESPINAR</v>
      </c>
      <c r="G778" s="25" t="str">
        <f ca="1">IFERROR(__xludf.DUMMYFUNCTION("""COMPUTED_VALUE"""),"COPORAQUE")</f>
        <v>COPORAQUE</v>
      </c>
      <c r="H778" s="25" t="str">
        <f ca="1">IFERROR(__xludf.DUMMYFUNCTION("""COMPUTED_VALUE"""),"RURAL")</f>
        <v>RURAL</v>
      </c>
      <c r="I778" s="25" t="str">
        <f ca="1">IFERROR(__xludf.DUMMYFUNCTION("""COMPUTED_VALUE"""),"Prioridad 5")</f>
        <v>Prioridad 5</v>
      </c>
      <c r="J778" s="43" t="s">
        <v>262</v>
      </c>
    </row>
    <row r="779" spans="2:10">
      <c r="B779" s="25" t="str">
        <f ca="1">IFERROR(__xludf.DUMMYFUNCTION("""COMPUTED_VALUE"""),"MUNICIPALIDAD DISTRITAL")</f>
        <v>MUNICIPALIDAD DISTRITAL</v>
      </c>
      <c r="C779" s="25" t="str">
        <f ca="1">IFERROR(__xludf.DUMMYFUNCTION("""COMPUTED_VALUE"""),"MUNICIPALIDAD DISTRITAL DE OCORURO")</f>
        <v>MUNICIPALIDAD DISTRITAL DE OCORURO</v>
      </c>
      <c r="D779" s="25" t="str">
        <f ca="1">IFERROR(__xludf.DUMMYFUNCTION("""COMPUTED_VALUE"""),"CUZCO")</f>
        <v>CUZCO</v>
      </c>
      <c r="E779" s="25" t="str">
        <f ca="1">IFERROR(__xludf.DUMMYFUNCTION("""COMPUTED_VALUE"""),"CUZCO")</f>
        <v>CUZCO</v>
      </c>
      <c r="F779" s="25" t="str">
        <f ca="1">IFERROR(__xludf.DUMMYFUNCTION("""COMPUTED_VALUE"""),"ESPINAR")</f>
        <v>ESPINAR</v>
      </c>
      <c r="G779" s="25" t="str">
        <f ca="1">IFERROR(__xludf.DUMMYFUNCTION("""COMPUTED_VALUE"""),"OCORURO")</f>
        <v>OCORURO</v>
      </c>
      <c r="H779" s="25" t="str">
        <f ca="1">IFERROR(__xludf.DUMMYFUNCTION("""COMPUTED_VALUE"""),"RURAL")</f>
        <v>RURAL</v>
      </c>
      <c r="I779" s="25" t="str">
        <f ca="1">IFERROR(__xludf.DUMMYFUNCTION("""COMPUTED_VALUE"""),"Prioridad 3")</f>
        <v>Prioridad 3</v>
      </c>
      <c r="J779" s="43" t="s">
        <v>262</v>
      </c>
    </row>
    <row r="780" spans="2:10">
      <c r="B780" s="25" t="str">
        <f ca="1">IFERROR(__xludf.DUMMYFUNCTION("""COMPUTED_VALUE"""),"MUNICIPALIDAD DISTRITAL")</f>
        <v>MUNICIPALIDAD DISTRITAL</v>
      </c>
      <c r="C780" s="25" t="str">
        <f ca="1">IFERROR(__xludf.DUMMYFUNCTION("""COMPUTED_VALUE"""),"MUNICIPALIDAD DISTRITAL DE PALLPATA")</f>
        <v>MUNICIPALIDAD DISTRITAL DE PALLPATA</v>
      </c>
      <c r="D780" s="25" t="str">
        <f ca="1">IFERROR(__xludf.DUMMYFUNCTION("""COMPUTED_VALUE"""),"CUZCO")</f>
        <v>CUZCO</v>
      </c>
      <c r="E780" s="25" t="str">
        <f ca="1">IFERROR(__xludf.DUMMYFUNCTION("""COMPUTED_VALUE"""),"CUZCO")</f>
        <v>CUZCO</v>
      </c>
      <c r="F780" s="25" t="str">
        <f ca="1">IFERROR(__xludf.DUMMYFUNCTION("""COMPUTED_VALUE"""),"ESPINAR")</f>
        <v>ESPINAR</v>
      </c>
      <c r="G780" s="25" t="str">
        <f ca="1">IFERROR(__xludf.DUMMYFUNCTION("""COMPUTED_VALUE"""),"PALLPATA")</f>
        <v>PALLPATA</v>
      </c>
      <c r="H780" s="25" t="str">
        <f ca="1">IFERROR(__xludf.DUMMYFUNCTION("""COMPUTED_VALUE"""),"RURAL")</f>
        <v>RURAL</v>
      </c>
      <c r="I780" s="25" t="str">
        <f ca="1">IFERROR(__xludf.DUMMYFUNCTION("""COMPUTED_VALUE"""),"Prioridad 3")</f>
        <v>Prioridad 3</v>
      </c>
      <c r="J780" s="43" t="s">
        <v>262</v>
      </c>
    </row>
    <row r="781" spans="2:10">
      <c r="B781" s="25" t="str">
        <f ca="1">IFERROR(__xludf.DUMMYFUNCTION("""COMPUTED_VALUE"""),"MUNICIPALIDAD DISTRITAL")</f>
        <v>MUNICIPALIDAD DISTRITAL</v>
      </c>
      <c r="C781" s="25" t="str">
        <f ca="1">IFERROR(__xludf.DUMMYFUNCTION("""COMPUTED_VALUE"""),"MUNICIPALIDAD DISTRITAL DE PICHIGUA")</f>
        <v>MUNICIPALIDAD DISTRITAL DE PICHIGUA</v>
      </c>
      <c r="D781" s="25" t="str">
        <f ca="1">IFERROR(__xludf.DUMMYFUNCTION("""COMPUTED_VALUE"""),"CUZCO")</f>
        <v>CUZCO</v>
      </c>
      <c r="E781" s="25" t="str">
        <f ca="1">IFERROR(__xludf.DUMMYFUNCTION("""COMPUTED_VALUE"""),"CUZCO")</f>
        <v>CUZCO</v>
      </c>
      <c r="F781" s="25" t="str">
        <f ca="1">IFERROR(__xludf.DUMMYFUNCTION("""COMPUTED_VALUE"""),"ESPINAR")</f>
        <v>ESPINAR</v>
      </c>
      <c r="G781" s="25" t="str">
        <f ca="1">IFERROR(__xludf.DUMMYFUNCTION("""COMPUTED_VALUE"""),"PICHIGUA")</f>
        <v>PICHIGUA</v>
      </c>
      <c r="H781" s="25" t="str">
        <f ca="1">IFERROR(__xludf.DUMMYFUNCTION("""COMPUTED_VALUE"""),"RURAL")</f>
        <v>RURAL</v>
      </c>
      <c r="I781" s="25" t="str">
        <f ca="1">IFERROR(__xludf.DUMMYFUNCTION("""COMPUTED_VALUE"""),"Prioridad 5")</f>
        <v>Prioridad 5</v>
      </c>
      <c r="J781" s="43" t="s">
        <v>262</v>
      </c>
    </row>
    <row r="782" spans="2:10">
      <c r="B782" s="25" t="str">
        <f ca="1">IFERROR(__xludf.DUMMYFUNCTION("""COMPUTED_VALUE"""),"MUNICIPALIDAD DISTRITAL")</f>
        <v>MUNICIPALIDAD DISTRITAL</v>
      </c>
      <c r="C782" s="25" t="str">
        <f ca="1">IFERROR(__xludf.DUMMYFUNCTION("""COMPUTED_VALUE"""),"MUNICIPALIDAD DISTRITAL DE SUYCKUTAMBO")</f>
        <v>MUNICIPALIDAD DISTRITAL DE SUYCKUTAMBO</v>
      </c>
      <c r="D782" s="25" t="str">
        <f ca="1">IFERROR(__xludf.DUMMYFUNCTION("""COMPUTED_VALUE"""),"CUZCO")</f>
        <v>CUZCO</v>
      </c>
      <c r="E782" s="25" t="str">
        <f ca="1">IFERROR(__xludf.DUMMYFUNCTION("""COMPUTED_VALUE"""),"CUZCO")</f>
        <v>CUZCO</v>
      </c>
      <c r="F782" s="25" t="str">
        <f ca="1">IFERROR(__xludf.DUMMYFUNCTION("""COMPUTED_VALUE"""),"ESPINAR")</f>
        <v>ESPINAR</v>
      </c>
      <c r="G782" s="25" t="str">
        <f ca="1">IFERROR(__xludf.DUMMYFUNCTION("""COMPUTED_VALUE"""),"SUYCKUTAMBO")</f>
        <v>SUYCKUTAMBO</v>
      </c>
      <c r="H782" s="25" t="str">
        <f ca="1">IFERROR(__xludf.DUMMYFUNCTION("""COMPUTED_VALUE"""),"RURAL")</f>
        <v>RURAL</v>
      </c>
      <c r="I782" s="25" t="str">
        <f ca="1">IFERROR(__xludf.DUMMYFUNCTION("""COMPUTED_VALUE"""),"Prioridad 5")</f>
        <v>Prioridad 5</v>
      </c>
      <c r="J782" s="43" t="s">
        <v>262</v>
      </c>
    </row>
    <row r="783" spans="2:10">
      <c r="B783" s="25" t="str">
        <f ca="1">IFERROR(__xludf.DUMMYFUNCTION("""COMPUTED_VALUE"""),"MUNICIPALIDAD DISTRITAL")</f>
        <v>MUNICIPALIDAD DISTRITAL</v>
      </c>
      <c r="C783" s="25" t="str">
        <f ca="1">IFERROR(__xludf.DUMMYFUNCTION("""COMPUTED_VALUE"""),"MUNICIPALIDAD DISTRITAL DE ALTO PICHIGUA")</f>
        <v>MUNICIPALIDAD DISTRITAL DE ALTO PICHIGUA</v>
      </c>
      <c r="D783" s="25" t="str">
        <f ca="1">IFERROR(__xludf.DUMMYFUNCTION("""COMPUTED_VALUE"""),"CUZCO")</f>
        <v>CUZCO</v>
      </c>
      <c r="E783" s="25" t="str">
        <f ca="1">IFERROR(__xludf.DUMMYFUNCTION("""COMPUTED_VALUE"""),"CUZCO")</f>
        <v>CUZCO</v>
      </c>
      <c r="F783" s="25" t="str">
        <f ca="1">IFERROR(__xludf.DUMMYFUNCTION("""COMPUTED_VALUE"""),"ESPINAR")</f>
        <v>ESPINAR</v>
      </c>
      <c r="G783" s="25" t="str">
        <f ca="1">IFERROR(__xludf.DUMMYFUNCTION("""COMPUTED_VALUE"""),"ALTO PICHIGUA")</f>
        <v>ALTO PICHIGUA</v>
      </c>
      <c r="H783" s="25" t="str">
        <f ca="1">IFERROR(__xludf.DUMMYFUNCTION("""COMPUTED_VALUE"""),"RURAL")</f>
        <v>RURAL</v>
      </c>
      <c r="I783" s="25" t="str">
        <f ca="1">IFERROR(__xludf.DUMMYFUNCTION("""COMPUTED_VALUE"""),"Prioridad 4")</f>
        <v>Prioridad 4</v>
      </c>
      <c r="J783" s="43" t="s">
        <v>262</v>
      </c>
    </row>
    <row r="784" spans="2:10">
      <c r="B784" s="25" t="str">
        <f ca="1">IFERROR(__xludf.DUMMYFUNCTION("""COMPUTED_VALUE"""),"MUNICIPALIDAD PROVINCIAL")</f>
        <v>MUNICIPALIDAD PROVINCIAL</v>
      </c>
      <c r="C784" s="25" t="str">
        <f ca="1">IFERROR(__xludf.DUMMYFUNCTION("""COMPUTED_VALUE"""),"MUNICIPALIDAD PROVINCIAL DE LA CONVENCION")</f>
        <v>MUNICIPALIDAD PROVINCIAL DE LA CONVENCION</v>
      </c>
      <c r="D784" s="25" t="str">
        <f ca="1">IFERROR(__xludf.DUMMYFUNCTION("""COMPUTED_VALUE"""),"CUZCO")</f>
        <v>CUZCO</v>
      </c>
      <c r="E784" s="25" t="str">
        <f ca="1">IFERROR(__xludf.DUMMYFUNCTION("""COMPUTED_VALUE"""),"CUZCO")</f>
        <v>CUZCO</v>
      </c>
      <c r="F784" s="25" t="str">
        <f ca="1">IFERROR(__xludf.DUMMYFUNCTION("""COMPUTED_VALUE"""),"LA CONVENCION")</f>
        <v>LA CONVENCION</v>
      </c>
      <c r="G784" s="25" t="str">
        <f ca="1">IFERROR(__xludf.DUMMYFUNCTION("""COMPUTED_VALUE"""),"SANTA ANA")</f>
        <v>SANTA ANA</v>
      </c>
      <c r="H784" s="25" t="str">
        <f ca="1">IFERROR(__xludf.DUMMYFUNCTION("""COMPUTED_VALUE"""),"URBANO")</f>
        <v>URBANO</v>
      </c>
      <c r="I784" s="25" t="str">
        <f ca="1">IFERROR(__xludf.DUMMYFUNCTION("""COMPUTED_VALUE"""),"Prioridad 1")</f>
        <v>Prioridad 1</v>
      </c>
      <c r="J784" s="43" t="s">
        <v>262</v>
      </c>
    </row>
    <row r="785" spans="2:10">
      <c r="B785" s="25" t="str">
        <f ca="1">IFERROR(__xludf.DUMMYFUNCTION("""COMPUTED_VALUE"""),"MUNICIPALIDAD DISTRITAL")</f>
        <v>MUNICIPALIDAD DISTRITAL</v>
      </c>
      <c r="C785" s="25" t="str">
        <f ca="1">IFERROR(__xludf.DUMMYFUNCTION("""COMPUTED_VALUE"""),"MUNICIPALIDAD DISTRITAL DE PICHARI")</f>
        <v>MUNICIPALIDAD DISTRITAL DE PICHARI</v>
      </c>
      <c r="D785" s="25" t="str">
        <f ca="1">IFERROR(__xludf.DUMMYFUNCTION("""COMPUTED_VALUE"""),"CUZCO")</f>
        <v>CUZCO</v>
      </c>
      <c r="E785" s="25" t="str">
        <f ca="1">IFERROR(__xludf.DUMMYFUNCTION("""COMPUTED_VALUE"""),"CUZCO")</f>
        <v>CUZCO</v>
      </c>
      <c r="F785" s="25" t="str">
        <f ca="1">IFERROR(__xludf.DUMMYFUNCTION("""COMPUTED_VALUE"""),"LA CONVENCION")</f>
        <v>LA CONVENCION</v>
      </c>
      <c r="G785" s="25" t="str">
        <f ca="1">IFERROR(__xludf.DUMMYFUNCTION("""COMPUTED_VALUE"""),"PICHARI")</f>
        <v>PICHARI</v>
      </c>
      <c r="H785" s="25" t="str">
        <f ca="1">IFERROR(__xludf.DUMMYFUNCTION("""COMPUTED_VALUE"""),"URBANO")</f>
        <v>URBANO</v>
      </c>
      <c r="I785" s="25" t="str">
        <f ca="1">IFERROR(__xludf.DUMMYFUNCTION("""COMPUTED_VALUE"""),"Prioridad 1")</f>
        <v>Prioridad 1</v>
      </c>
      <c r="J785" s="43" t="s">
        <v>262</v>
      </c>
    </row>
    <row r="786" spans="2:10">
      <c r="B786" s="25" t="str">
        <f ca="1">IFERROR(__xludf.DUMMYFUNCTION("""COMPUTED_VALUE"""),"MUNICIPALIDAD DISTRITAL")</f>
        <v>MUNICIPALIDAD DISTRITAL</v>
      </c>
      <c r="C786" s="25" t="str">
        <f ca="1">IFERROR(__xludf.DUMMYFUNCTION("""COMPUTED_VALUE"""),"MUNICIPALIDAD DISTRITAL DE ECHARATE")</f>
        <v>MUNICIPALIDAD DISTRITAL DE ECHARATE</v>
      </c>
      <c r="D786" s="25" t="str">
        <f ca="1">IFERROR(__xludf.DUMMYFUNCTION("""COMPUTED_VALUE"""),"CUZCO")</f>
        <v>CUZCO</v>
      </c>
      <c r="E786" s="25" t="str">
        <f ca="1">IFERROR(__xludf.DUMMYFUNCTION("""COMPUTED_VALUE"""),"CUZCO")</f>
        <v>CUZCO</v>
      </c>
      <c r="F786" s="25" t="str">
        <f ca="1">IFERROR(__xludf.DUMMYFUNCTION("""COMPUTED_VALUE"""),"LA CONVENCION")</f>
        <v>LA CONVENCION</v>
      </c>
      <c r="G786" s="25" t="str">
        <f ca="1">IFERROR(__xludf.DUMMYFUNCTION("""COMPUTED_VALUE"""),"ECHARATE")</f>
        <v>ECHARATE</v>
      </c>
      <c r="H786" s="25" t="str">
        <f ca="1">IFERROR(__xludf.DUMMYFUNCTION("""COMPUTED_VALUE"""),"RURAL")</f>
        <v>RURAL</v>
      </c>
      <c r="I786" s="25" t="str">
        <f ca="1">IFERROR(__xludf.DUMMYFUNCTION("""COMPUTED_VALUE"""),"Prioridad 4")</f>
        <v>Prioridad 4</v>
      </c>
      <c r="J786" s="43" t="s">
        <v>262</v>
      </c>
    </row>
    <row r="787" spans="2:10">
      <c r="B787" s="25" t="str">
        <f ca="1">IFERROR(__xludf.DUMMYFUNCTION("""COMPUTED_VALUE"""),"MUNICIPALIDAD DISTRITAL")</f>
        <v>MUNICIPALIDAD DISTRITAL</v>
      </c>
      <c r="C787" s="25" t="str">
        <f ca="1">IFERROR(__xludf.DUMMYFUNCTION("""COMPUTED_VALUE"""),"MUNICIPALIDAD DISTRITAL DE HUAYOPATA")</f>
        <v>MUNICIPALIDAD DISTRITAL DE HUAYOPATA</v>
      </c>
      <c r="D787" s="25" t="str">
        <f ca="1">IFERROR(__xludf.DUMMYFUNCTION("""COMPUTED_VALUE"""),"CUZCO")</f>
        <v>CUZCO</v>
      </c>
      <c r="E787" s="25" t="str">
        <f ca="1">IFERROR(__xludf.DUMMYFUNCTION("""COMPUTED_VALUE"""),"CUZCO")</f>
        <v>CUZCO</v>
      </c>
      <c r="F787" s="25" t="str">
        <f ca="1">IFERROR(__xludf.DUMMYFUNCTION("""COMPUTED_VALUE"""),"LA CONVENCION")</f>
        <v>LA CONVENCION</v>
      </c>
      <c r="G787" s="25" t="str">
        <f ca="1">IFERROR(__xludf.DUMMYFUNCTION("""COMPUTED_VALUE"""),"HUAYOPATA")</f>
        <v>HUAYOPATA</v>
      </c>
      <c r="H787" s="25" t="str">
        <f ca="1">IFERROR(__xludf.DUMMYFUNCTION("""COMPUTED_VALUE"""),"RURAL")</f>
        <v>RURAL</v>
      </c>
      <c r="I787" s="25" t="str">
        <f ca="1">IFERROR(__xludf.DUMMYFUNCTION("""COMPUTED_VALUE"""),"Prioridad 2")</f>
        <v>Prioridad 2</v>
      </c>
      <c r="J787" s="43" t="s">
        <v>262</v>
      </c>
    </row>
    <row r="788" spans="2:10">
      <c r="B788" s="25" t="str">
        <f ca="1">IFERROR(__xludf.DUMMYFUNCTION("""COMPUTED_VALUE"""),"MUNICIPALIDAD DISTRITAL")</f>
        <v>MUNICIPALIDAD DISTRITAL</v>
      </c>
      <c r="C788" s="25" t="str">
        <f ca="1">IFERROR(__xludf.DUMMYFUNCTION("""COMPUTED_VALUE"""),"MUNICIPALIDAD DISTRITAL DE MARANURA")</f>
        <v>MUNICIPALIDAD DISTRITAL DE MARANURA</v>
      </c>
      <c r="D788" s="25" t="str">
        <f ca="1">IFERROR(__xludf.DUMMYFUNCTION("""COMPUTED_VALUE"""),"CUZCO")</f>
        <v>CUZCO</v>
      </c>
      <c r="E788" s="25" t="str">
        <f ca="1">IFERROR(__xludf.DUMMYFUNCTION("""COMPUTED_VALUE"""),"CUZCO")</f>
        <v>CUZCO</v>
      </c>
      <c r="F788" s="25" t="str">
        <f ca="1">IFERROR(__xludf.DUMMYFUNCTION("""COMPUTED_VALUE"""),"LA CONVENCION")</f>
        <v>LA CONVENCION</v>
      </c>
      <c r="G788" s="25" t="str">
        <f ca="1">IFERROR(__xludf.DUMMYFUNCTION("""COMPUTED_VALUE"""),"MARANURA")</f>
        <v>MARANURA</v>
      </c>
      <c r="H788" s="25" t="str">
        <f ca="1">IFERROR(__xludf.DUMMYFUNCTION("""COMPUTED_VALUE"""),"RURAL")</f>
        <v>RURAL</v>
      </c>
      <c r="I788" s="25" t="str">
        <f ca="1">IFERROR(__xludf.DUMMYFUNCTION("""COMPUTED_VALUE"""),"Prioridad 2")</f>
        <v>Prioridad 2</v>
      </c>
      <c r="J788" s="43" t="s">
        <v>262</v>
      </c>
    </row>
    <row r="789" spans="2:10">
      <c r="B789" s="25" t="str">
        <f ca="1">IFERROR(__xludf.DUMMYFUNCTION("""COMPUTED_VALUE"""),"MUNICIPALIDAD DISTRITAL")</f>
        <v>MUNICIPALIDAD DISTRITAL</v>
      </c>
      <c r="C789" s="25" t="str">
        <f ca="1">IFERROR(__xludf.DUMMYFUNCTION("""COMPUTED_VALUE"""),"MUNICIPALIDAD DISTRITAL DE OCOBAMBA EN LA CONVENCION")</f>
        <v>MUNICIPALIDAD DISTRITAL DE OCOBAMBA EN LA CONVENCION</v>
      </c>
      <c r="D789" s="25" t="str">
        <f ca="1">IFERROR(__xludf.DUMMYFUNCTION("""COMPUTED_VALUE"""),"CUZCO")</f>
        <v>CUZCO</v>
      </c>
      <c r="E789" s="25" t="str">
        <f ca="1">IFERROR(__xludf.DUMMYFUNCTION("""COMPUTED_VALUE"""),"CUZCO")</f>
        <v>CUZCO</v>
      </c>
      <c r="F789" s="25" t="str">
        <f ca="1">IFERROR(__xludf.DUMMYFUNCTION("""COMPUTED_VALUE"""),"LA CONVENCION")</f>
        <v>LA CONVENCION</v>
      </c>
      <c r="G789" s="25" t="str">
        <f ca="1">IFERROR(__xludf.DUMMYFUNCTION("""COMPUTED_VALUE"""),"OCOBAMBA")</f>
        <v>OCOBAMBA</v>
      </c>
      <c r="H789" s="25" t="str">
        <f ca="1">IFERROR(__xludf.DUMMYFUNCTION("""COMPUTED_VALUE"""),"RURAL")</f>
        <v>RURAL</v>
      </c>
      <c r="I789" s="25" t="str">
        <f ca="1">IFERROR(__xludf.DUMMYFUNCTION("""COMPUTED_VALUE"""),"Prioridad 2")</f>
        <v>Prioridad 2</v>
      </c>
      <c r="J789" s="43" t="s">
        <v>262</v>
      </c>
    </row>
    <row r="790" spans="2:10">
      <c r="B790" s="25" t="str">
        <f ca="1">IFERROR(__xludf.DUMMYFUNCTION("""COMPUTED_VALUE"""),"MUNICIPALIDAD DISTRITAL")</f>
        <v>MUNICIPALIDAD DISTRITAL</v>
      </c>
      <c r="C790" s="25" t="str">
        <f ca="1">IFERROR(__xludf.DUMMYFUNCTION("""COMPUTED_VALUE"""),"MUNICIPALIDAD DISTRITAL DE QUELLOUNO")</f>
        <v>MUNICIPALIDAD DISTRITAL DE QUELLOUNO</v>
      </c>
      <c r="D790" s="25" t="str">
        <f ca="1">IFERROR(__xludf.DUMMYFUNCTION("""COMPUTED_VALUE"""),"CUZCO")</f>
        <v>CUZCO</v>
      </c>
      <c r="E790" s="25" t="str">
        <f ca="1">IFERROR(__xludf.DUMMYFUNCTION("""COMPUTED_VALUE"""),"CUZCO")</f>
        <v>CUZCO</v>
      </c>
      <c r="F790" s="25" t="str">
        <f ca="1">IFERROR(__xludf.DUMMYFUNCTION("""COMPUTED_VALUE"""),"LA CONVENCION")</f>
        <v>LA CONVENCION</v>
      </c>
      <c r="G790" s="25" t="str">
        <f ca="1">IFERROR(__xludf.DUMMYFUNCTION("""COMPUTED_VALUE"""),"QUELLOUNO")</f>
        <v>QUELLOUNO</v>
      </c>
      <c r="H790" s="25" t="str">
        <f ca="1">IFERROR(__xludf.DUMMYFUNCTION("""COMPUTED_VALUE"""),"RURAL")</f>
        <v>RURAL</v>
      </c>
      <c r="I790" s="25" t="str">
        <f ca="1">IFERROR(__xludf.DUMMYFUNCTION("""COMPUTED_VALUE"""),"Prioridad 3")</f>
        <v>Prioridad 3</v>
      </c>
      <c r="J790" s="43" t="s">
        <v>262</v>
      </c>
    </row>
    <row r="791" spans="2:10">
      <c r="B791" s="25" t="str">
        <f ca="1">IFERROR(__xludf.DUMMYFUNCTION("""COMPUTED_VALUE"""),"MUNICIPALIDAD DISTRITAL")</f>
        <v>MUNICIPALIDAD DISTRITAL</v>
      </c>
      <c r="C791" s="25" t="str">
        <f ca="1">IFERROR(__xludf.DUMMYFUNCTION("""COMPUTED_VALUE"""),"MUNICIPALIDAD DISTRITAL DE KIMBIRI")</f>
        <v>MUNICIPALIDAD DISTRITAL DE KIMBIRI</v>
      </c>
      <c r="D791" s="25" t="str">
        <f ca="1">IFERROR(__xludf.DUMMYFUNCTION("""COMPUTED_VALUE"""),"CUZCO")</f>
        <v>CUZCO</v>
      </c>
      <c r="E791" s="25" t="str">
        <f ca="1">IFERROR(__xludf.DUMMYFUNCTION("""COMPUTED_VALUE"""),"CUZCO")</f>
        <v>CUZCO</v>
      </c>
      <c r="F791" s="25" t="str">
        <f ca="1">IFERROR(__xludf.DUMMYFUNCTION("""COMPUTED_VALUE"""),"LA CONVENCION")</f>
        <v>LA CONVENCION</v>
      </c>
      <c r="G791" s="25" t="str">
        <f ca="1">IFERROR(__xludf.DUMMYFUNCTION("""COMPUTED_VALUE"""),"KIMBIRI")</f>
        <v>KIMBIRI</v>
      </c>
      <c r="H791" s="25" t="str">
        <f ca="1">IFERROR(__xludf.DUMMYFUNCTION("""COMPUTED_VALUE"""),"URBANO")</f>
        <v>URBANO</v>
      </c>
      <c r="I791" s="25" t="str">
        <f ca="1">IFERROR(__xludf.DUMMYFUNCTION("""COMPUTED_VALUE"""),"Prioridad 1")</f>
        <v>Prioridad 1</v>
      </c>
      <c r="J791" s="43" t="s">
        <v>262</v>
      </c>
    </row>
    <row r="792" spans="2:10">
      <c r="B792" s="25" t="str">
        <f ca="1">IFERROR(__xludf.DUMMYFUNCTION("""COMPUTED_VALUE"""),"MUNICIPALIDAD DISTRITAL")</f>
        <v>MUNICIPALIDAD DISTRITAL</v>
      </c>
      <c r="C792" s="25" t="str">
        <f ca="1">IFERROR(__xludf.DUMMYFUNCTION("""COMPUTED_VALUE"""),"MUNICIPALIDAD DISTRITAL DE SANTA TERESA")</f>
        <v>MUNICIPALIDAD DISTRITAL DE SANTA TERESA</v>
      </c>
      <c r="D792" s="25" t="str">
        <f ca="1">IFERROR(__xludf.DUMMYFUNCTION("""COMPUTED_VALUE"""),"CUZCO")</f>
        <v>CUZCO</v>
      </c>
      <c r="E792" s="25" t="str">
        <f ca="1">IFERROR(__xludf.DUMMYFUNCTION("""COMPUTED_VALUE"""),"CUZCO")</f>
        <v>CUZCO</v>
      </c>
      <c r="F792" s="25" t="str">
        <f ca="1">IFERROR(__xludf.DUMMYFUNCTION("""COMPUTED_VALUE"""),"LA CONVENCION")</f>
        <v>LA CONVENCION</v>
      </c>
      <c r="G792" s="25" t="str">
        <f ca="1">IFERROR(__xludf.DUMMYFUNCTION("""COMPUTED_VALUE"""),"SANTA TERESA")</f>
        <v>SANTA TERESA</v>
      </c>
      <c r="H792" s="25" t="str">
        <f ca="1">IFERROR(__xludf.DUMMYFUNCTION("""COMPUTED_VALUE"""),"RURAL")</f>
        <v>RURAL</v>
      </c>
      <c r="I792" s="25" t="str">
        <f ca="1">IFERROR(__xludf.DUMMYFUNCTION("""COMPUTED_VALUE"""),"Prioridad 2")</f>
        <v>Prioridad 2</v>
      </c>
      <c r="J792" s="43" t="s">
        <v>262</v>
      </c>
    </row>
    <row r="793" spans="2:10">
      <c r="B793" s="25" t="str">
        <f ca="1">IFERROR(__xludf.DUMMYFUNCTION("""COMPUTED_VALUE"""),"MUNICIPALIDAD DISTRITAL")</f>
        <v>MUNICIPALIDAD DISTRITAL</v>
      </c>
      <c r="C793" s="25" t="str">
        <f ca="1">IFERROR(__xludf.DUMMYFUNCTION("""COMPUTED_VALUE"""),"MUNICIPALIDAD DISTRITAL DE VILCABAMBA EN LA CONVENCION")</f>
        <v>MUNICIPALIDAD DISTRITAL DE VILCABAMBA EN LA CONVENCION</v>
      </c>
      <c r="D793" s="25" t="str">
        <f ca="1">IFERROR(__xludf.DUMMYFUNCTION("""COMPUTED_VALUE"""),"CUZCO")</f>
        <v>CUZCO</v>
      </c>
      <c r="E793" s="25" t="str">
        <f ca="1">IFERROR(__xludf.DUMMYFUNCTION("""COMPUTED_VALUE"""),"CUZCO")</f>
        <v>CUZCO</v>
      </c>
      <c r="F793" s="25" t="str">
        <f ca="1">IFERROR(__xludf.DUMMYFUNCTION("""COMPUTED_VALUE"""),"LA CONVENCION")</f>
        <v>LA CONVENCION</v>
      </c>
      <c r="G793" s="25" t="str">
        <f ca="1">IFERROR(__xludf.DUMMYFUNCTION("""COMPUTED_VALUE"""),"VILCABAMBA")</f>
        <v>VILCABAMBA</v>
      </c>
      <c r="H793" s="25" t="str">
        <f ca="1">IFERROR(__xludf.DUMMYFUNCTION("""COMPUTED_VALUE"""),"RURAL")</f>
        <v>RURAL</v>
      </c>
      <c r="I793" s="25" t="str">
        <f ca="1">IFERROR(__xludf.DUMMYFUNCTION("""COMPUTED_VALUE"""),"Prioridad 2")</f>
        <v>Prioridad 2</v>
      </c>
      <c r="J793" s="43" t="s">
        <v>262</v>
      </c>
    </row>
    <row r="794" spans="2:10">
      <c r="B794" s="25" t="str">
        <f ca="1">IFERROR(__xludf.DUMMYFUNCTION("""COMPUTED_VALUE"""),"MUNICIPALIDAD DISTRITAL")</f>
        <v>MUNICIPALIDAD DISTRITAL</v>
      </c>
      <c r="C794" s="25" t="str">
        <f ca="1">IFERROR(__xludf.DUMMYFUNCTION("""COMPUTED_VALUE"""),"MUNICIPALIDAD DISTRITAL DE INKAWASI")</f>
        <v>MUNICIPALIDAD DISTRITAL DE INKAWASI</v>
      </c>
      <c r="D794" s="25" t="str">
        <f ca="1">IFERROR(__xludf.DUMMYFUNCTION("""COMPUTED_VALUE"""),"CUZCO")</f>
        <v>CUZCO</v>
      </c>
      <c r="E794" s="25" t="str">
        <f ca="1">IFERROR(__xludf.DUMMYFUNCTION("""COMPUTED_VALUE"""),"CUZCO")</f>
        <v>CUZCO</v>
      </c>
      <c r="F794" s="25" t="str">
        <f ca="1">IFERROR(__xludf.DUMMYFUNCTION("""COMPUTED_VALUE"""),"LA CONVENCION")</f>
        <v>LA CONVENCION</v>
      </c>
      <c r="G794" s="25" t="str">
        <f ca="1">IFERROR(__xludf.DUMMYFUNCTION("""COMPUTED_VALUE"""),"INKAWASI")</f>
        <v>INKAWASI</v>
      </c>
      <c r="H794" s="25" t="str">
        <f ca="1">IFERROR(__xludf.DUMMYFUNCTION("""COMPUTED_VALUE"""),"RURAL")</f>
        <v>RURAL</v>
      </c>
      <c r="I794" s="25" t="str">
        <f ca="1">IFERROR(__xludf.DUMMYFUNCTION("""COMPUTED_VALUE"""),"Prioridad 4")</f>
        <v>Prioridad 4</v>
      </c>
      <c r="J794" s="43" t="s">
        <v>262</v>
      </c>
    </row>
    <row r="795" spans="2:10">
      <c r="B795" s="25" t="str">
        <f ca="1">IFERROR(__xludf.DUMMYFUNCTION("""COMPUTED_VALUE"""),"MUNICIPALIDAD DISTRITAL")</f>
        <v>MUNICIPALIDAD DISTRITAL</v>
      </c>
      <c r="C795" s="25" t="str">
        <f ca="1">IFERROR(__xludf.DUMMYFUNCTION("""COMPUTED_VALUE"""),"MUNICIPALIDAD DISTRITAL DE VILLA VIRGEN")</f>
        <v>MUNICIPALIDAD DISTRITAL DE VILLA VIRGEN</v>
      </c>
      <c r="D795" s="25" t="str">
        <f ca="1">IFERROR(__xludf.DUMMYFUNCTION("""COMPUTED_VALUE"""),"CUZCO")</f>
        <v>CUZCO</v>
      </c>
      <c r="E795" s="25" t="str">
        <f ca="1">IFERROR(__xludf.DUMMYFUNCTION("""COMPUTED_VALUE"""),"CUZCO")</f>
        <v>CUZCO</v>
      </c>
      <c r="F795" s="25" t="str">
        <f ca="1">IFERROR(__xludf.DUMMYFUNCTION("""COMPUTED_VALUE"""),"LA CONVENCION")</f>
        <v>LA CONVENCION</v>
      </c>
      <c r="G795" s="25" t="str">
        <f ca="1">IFERROR(__xludf.DUMMYFUNCTION("""COMPUTED_VALUE"""),"VILLA VIRGEN")</f>
        <v>VILLA VIRGEN</v>
      </c>
      <c r="H795" s="25" t="str">
        <f ca="1">IFERROR(__xludf.DUMMYFUNCTION("""COMPUTED_VALUE"""),"RURAL")</f>
        <v>RURAL</v>
      </c>
      <c r="I795" s="25" t="str">
        <f ca="1">IFERROR(__xludf.DUMMYFUNCTION("""COMPUTED_VALUE"""),"Prioridad 2")</f>
        <v>Prioridad 2</v>
      </c>
      <c r="J795" s="43" t="s">
        <v>262</v>
      </c>
    </row>
    <row r="796" spans="2:10">
      <c r="B796" s="25" t="str">
        <f ca="1">IFERROR(__xludf.DUMMYFUNCTION("""COMPUTED_VALUE"""),"MUNICIPALIDAD DISTRITAL")</f>
        <v>MUNICIPALIDAD DISTRITAL</v>
      </c>
      <c r="C796" s="25" t="str">
        <f ca="1">IFERROR(__xludf.DUMMYFUNCTION("""COMPUTED_VALUE"""),"MUNICIPALIDAD DISTRITAL DE VILLA KINTIARINA")</f>
        <v>MUNICIPALIDAD DISTRITAL DE VILLA KINTIARINA</v>
      </c>
      <c r="D796" s="25" t="str">
        <f ca="1">IFERROR(__xludf.DUMMYFUNCTION("""COMPUTED_VALUE"""),"CUZCO")</f>
        <v>CUZCO</v>
      </c>
      <c r="E796" s="25" t="str">
        <f ca="1">IFERROR(__xludf.DUMMYFUNCTION("""COMPUTED_VALUE"""),"CUZCO")</f>
        <v>CUZCO</v>
      </c>
      <c r="F796" s="25" t="str">
        <f ca="1">IFERROR(__xludf.DUMMYFUNCTION("""COMPUTED_VALUE"""),"LA CONVENCION")</f>
        <v>LA CONVENCION</v>
      </c>
      <c r="G796" s="25" t="str">
        <f ca="1">IFERROR(__xludf.DUMMYFUNCTION("""COMPUTED_VALUE"""),"VILLA KINTIARINA")</f>
        <v>VILLA KINTIARINA</v>
      </c>
      <c r="H796" s="25" t="str">
        <f ca="1">IFERROR(__xludf.DUMMYFUNCTION("""COMPUTED_VALUE"""),"RURAL")</f>
        <v>RURAL</v>
      </c>
      <c r="I796" s="25" t="str">
        <f ca="1">IFERROR(__xludf.DUMMYFUNCTION("""COMPUTED_VALUE"""),"Prioridad 2")</f>
        <v>Prioridad 2</v>
      </c>
      <c r="J796" s="43" t="s">
        <v>262</v>
      </c>
    </row>
    <row r="797" spans="2:10">
      <c r="B797" s="25" t="str">
        <f ca="1">IFERROR(__xludf.DUMMYFUNCTION("""COMPUTED_VALUE"""),"MUNICIPALIDAD DISTRITAL")</f>
        <v>MUNICIPALIDAD DISTRITAL</v>
      </c>
      <c r="C797" s="25" t="str">
        <f ca="1">IFERROR(__xludf.DUMMYFUNCTION("""COMPUTED_VALUE"""),"MUNICIPALIDAD DISTRITAL DE MEGANTONI")</f>
        <v>MUNICIPALIDAD DISTRITAL DE MEGANTONI</v>
      </c>
      <c r="D797" s="25" t="str">
        <f ca="1">IFERROR(__xludf.DUMMYFUNCTION("""COMPUTED_VALUE"""),"CUZCO")</f>
        <v>CUZCO</v>
      </c>
      <c r="E797" s="25" t="str">
        <f ca="1">IFERROR(__xludf.DUMMYFUNCTION("""COMPUTED_VALUE"""),"CUZCO")</f>
        <v>CUZCO</v>
      </c>
      <c r="F797" s="25" t="str">
        <f ca="1">IFERROR(__xludf.DUMMYFUNCTION("""COMPUTED_VALUE"""),"LA CONVENCION")</f>
        <v>LA CONVENCION</v>
      </c>
      <c r="G797" s="25" t="str">
        <f ca="1">IFERROR(__xludf.DUMMYFUNCTION("""COMPUTED_VALUE"""),"MEGANTONI")</f>
        <v>MEGANTONI</v>
      </c>
      <c r="H797" s="25" t="str">
        <f ca="1">IFERROR(__xludf.DUMMYFUNCTION("""COMPUTED_VALUE"""),"RURAL")</f>
        <v>RURAL</v>
      </c>
      <c r="I797" s="25" t="str">
        <f ca="1">IFERROR(__xludf.DUMMYFUNCTION("""COMPUTED_VALUE"""),"Prioridad 4")</f>
        <v>Prioridad 4</v>
      </c>
      <c r="J797" s="43" t="s">
        <v>262</v>
      </c>
    </row>
    <row r="798" spans="2:10">
      <c r="B798" s="25" t="str">
        <f ca="1">IFERROR(__xludf.DUMMYFUNCTION("""COMPUTED_VALUE"""),"MUNICIPALIDAD DISTRITAL")</f>
        <v>MUNICIPALIDAD DISTRITAL</v>
      </c>
      <c r="C798" s="25" t="str">
        <f ca="1">IFERROR(__xludf.DUMMYFUNCTION("""COMPUTED_VALUE"""),"MUNICIPALIDAD DISTRITAL DE KUMPIRUSHIATO")</f>
        <v>MUNICIPALIDAD DISTRITAL DE KUMPIRUSHIATO</v>
      </c>
      <c r="D798" s="25" t="str">
        <f ca="1">IFERROR(__xludf.DUMMYFUNCTION("""COMPUTED_VALUE"""),"CUZCO")</f>
        <v>CUZCO</v>
      </c>
      <c r="E798" s="25" t="str">
        <f ca="1">IFERROR(__xludf.DUMMYFUNCTION("""COMPUTED_VALUE"""),"CUZCO")</f>
        <v>CUZCO</v>
      </c>
      <c r="F798" s="25" t="str">
        <f ca="1">IFERROR(__xludf.DUMMYFUNCTION("""COMPUTED_VALUE"""),"LA CONVENCION")</f>
        <v>LA CONVENCION</v>
      </c>
      <c r="G798" s="25" t="str">
        <f ca="1">IFERROR(__xludf.DUMMYFUNCTION("""COMPUTED_VALUE"""),"KUMPIRUSHIATO")</f>
        <v>KUMPIRUSHIATO</v>
      </c>
      <c r="H798" s="25" t="str">
        <f ca="1">IFERROR(__xludf.DUMMYFUNCTION("""COMPUTED_VALUE"""),"RURAL")</f>
        <v>RURAL</v>
      </c>
      <c r="I798" s="25" t="str">
        <f ca="1">IFERROR(__xludf.DUMMYFUNCTION("""COMPUTED_VALUE"""),"Prioridad 5")</f>
        <v>Prioridad 5</v>
      </c>
      <c r="J798" s="43" t="s">
        <v>262</v>
      </c>
    </row>
    <row r="799" spans="2:10">
      <c r="B799" s="25" t="str">
        <f ca="1">IFERROR(__xludf.DUMMYFUNCTION("""COMPUTED_VALUE"""),"MUNICIPALIDAD DISTRITAL")</f>
        <v>MUNICIPALIDAD DISTRITAL</v>
      </c>
      <c r="C799" s="25" t="str">
        <f ca="1">IFERROR(__xludf.DUMMYFUNCTION("""COMPUTED_VALUE"""),"MUNICIPALIDAD DISTRITAL DE CIELO PUNCO")</f>
        <v>MUNICIPALIDAD DISTRITAL DE CIELO PUNCO</v>
      </c>
      <c r="D799" s="25" t="str">
        <f ca="1">IFERROR(__xludf.DUMMYFUNCTION("""COMPUTED_VALUE"""),"CUZCO")</f>
        <v>CUZCO</v>
      </c>
      <c r="E799" s="25" t="str">
        <f ca="1">IFERROR(__xludf.DUMMYFUNCTION("""COMPUTED_VALUE"""),"CUZCO")</f>
        <v>CUZCO</v>
      </c>
      <c r="F799" s="25" t="str">
        <f ca="1">IFERROR(__xludf.DUMMYFUNCTION("""COMPUTED_VALUE"""),"LA CONVENCION")</f>
        <v>LA CONVENCION</v>
      </c>
      <c r="G799" s="25" t="str">
        <f ca="1">IFERROR(__xludf.DUMMYFUNCTION("""COMPUTED_VALUE"""),"CIELO PUNCO")</f>
        <v>CIELO PUNCO</v>
      </c>
      <c r="H799" s="25" t="str">
        <f ca="1">IFERROR(__xludf.DUMMYFUNCTION("""COMPUTED_VALUE"""),"RURAL")</f>
        <v>RURAL</v>
      </c>
      <c r="I799" s="25" t="str">
        <f ca="1">IFERROR(__xludf.DUMMYFUNCTION("""COMPUTED_VALUE"""),"Prioridad 5")</f>
        <v>Prioridad 5</v>
      </c>
      <c r="J799" s="43" t="s">
        <v>262</v>
      </c>
    </row>
    <row r="800" spans="2:10">
      <c r="B800" s="25" t="str">
        <f ca="1">IFERROR(__xludf.DUMMYFUNCTION("""COMPUTED_VALUE"""),"MUNICIPALIDAD DISTRITAL")</f>
        <v>MUNICIPALIDAD DISTRITAL</v>
      </c>
      <c r="C800" s="25" t="str">
        <f ca="1">IFERROR(__xludf.DUMMYFUNCTION("""COMPUTED_VALUE"""),"MUNICIPALIDAD DISTRITAL DE MANITEA")</f>
        <v>MUNICIPALIDAD DISTRITAL DE MANITEA</v>
      </c>
      <c r="D800" s="25" t="str">
        <f ca="1">IFERROR(__xludf.DUMMYFUNCTION("""COMPUTED_VALUE"""),"CUZCO")</f>
        <v>CUZCO</v>
      </c>
      <c r="E800" s="25" t="str">
        <f ca="1">IFERROR(__xludf.DUMMYFUNCTION("""COMPUTED_VALUE"""),"CUZCO")</f>
        <v>CUZCO</v>
      </c>
      <c r="F800" s="25" t="str">
        <f ca="1">IFERROR(__xludf.DUMMYFUNCTION("""COMPUTED_VALUE"""),"LA CONVENCION")</f>
        <v>LA CONVENCION</v>
      </c>
      <c r="G800" s="25" t="str">
        <f ca="1">IFERROR(__xludf.DUMMYFUNCTION("""COMPUTED_VALUE"""),"MANITEA")</f>
        <v>MANITEA</v>
      </c>
      <c r="H800" s="25" t="str">
        <f ca="1">IFERROR(__xludf.DUMMYFUNCTION("""COMPUTED_VALUE"""),"RURAL")</f>
        <v>RURAL</v>
      </c>
      <c r="I800" s="25" t="str">
        <f ca="1">IFERROR(__xludf.DUMMYFUNCTION("""COMPUTED_VALUE"""),"Prioridad 4")</f>
        <v>Prioridad 4</v>
      </c>
      <c r="J800" s="43" t="s">
        <v>262</v>
      </c>
    </row>
    <row r="801" spans="2:10">
      <c r="B801" s="25" t="str">
        <f ca="1">IFERROR(__xludf.DUMMYFUNCTION("""COMPUTED_VALUE"""),"MUNICIPALIDAD DISTRITAL")</f>
        <v>MUNICIPALIDAD DISTRITAL</v>
      </c>
      <c r="C801" s="25" t="str">
        <f ca="1">IFERROR(__xludf.DUMMYFUNCTION("""COMPUTED_VALUE"""),"MUNICIPALIDAD DISTRITAL DE UNION ASHANINKA")</f>
        <v>MUNICIPALIDAD DISTRITAL DE UNION ASHANINKA</v>
      </c>
      <c r="D801" s="25" t="str">
        <f ca="1">IFERROR(__xludf.DUMMYFUNCTION("""COMPUTED_VALUE"""),"CUZCO")</f>
        <v>CUZCO</v>
      </c>
      <c r="E801" s="25" t="str">
        <f ca="1">IFERROR(__xludf.DUMMYFUNCTION("""COMPUTED_VALUE"""),"CUZCO")</f>
        <v>CUZCO</v>
      </c>
      <c r="F801" s="25" t="str">
        <f ca="1">IFERROR(__xludf.DUMMYFUNCTION("""COMPUTED_VALUE"""),"LA CONVENCION")</f>
        <v>LA CONVENCION</v>
      </c>
      <c r="G801" s="25" t="str">
        <f ca="1">IFERROR(__xludf.DUMMYFUNCTION("""COMPUTED_VALUE"""),"UNION ASHANINKA")</f>
        <v>UNION ASHANINKA</v>
      </c>
      <c r="H801" s="25" t="str">
        <f ca="1">IFERROR(__xludf.DUMMYFUNCTION("""COMPUTED_VALUE"""),"RURAL")</f>
        <v>RURAL</v>
      </c>
      <c r="I801" s="25" t="str">
        <f ca="1">IFERROR(__xludf.DUMMYFUNCTION("""COMPUTED_VALUE"""),"Prioridad 4")</f>
        <v>Prioridad 4</v>
      </c>
      <c r="J801" s="43" t="s">
        <v>262</v>
      </c>
    </row>
    <row r="802" spans="2:10">
      <c r="B802" s="25" t="str">
        <f ca="1">IFERROR(__xludf.DUMMYFUNCTION("""COMPUTED_VALUE"""),"MUNICIPALIDAD PROVINCIAL")</f>
        <v>MUNICIPALIDAD PROVINCIAL</v>
      </c>
      <c r="C802" s="25" t="str">
        <f ca="1">IFERROR(__xludf.DUMMYFUNCTION("""COMPUTED_VALUE"""),"MUNICIPALIDAD PROVINCIAL DE PARURO")</f>
        <v>MUNICIPALIDAD PROVINCIAL DE PARURO</v>
      </c>
      <c r="D802" s="25" t="str">
        <f ca="1">IFERROR(__xludf.DUMMYFUNCTION("""COMPUTED_VALUE"""),"CUZCO")</f>
        <v>CUZCO</v>
      </c>
      <c r="E802" s="25" t="str">
        <f ca="1">IFERROR(__xludf.DUMMYFUNCTION("""COMPUTED_VALUE"""),"CUZCO")</f>
        <v>CUZCO</v>
      </c>
      <c r="F802" s="25" t="str">
        <f ca="1">IFERROR(__xludf.DUMMYFUNCTION("""COMPUTED_VALUE"""),"PARURO")</f>
        <v>PARURO</v>
      </c>
      <c r="G802" s="25" t="str">
        <f ca="1">IFERROR(__xludf.DUMMYFUNCTION("""COMPUTED_VALUE"""),"PARURO")</f>
        <v>PARURO</v>
      </c>
      <c r="H802" s="25" t="str">
        <f ca="1">IFERROR(__xludf.DUMMYFUNCTION("""COMPUTED_VALUE"""),"RURAL")</f>
        <v>RURAL</v>
      </c>
      <c r="I802" s="25" t="str">
        <f ca="1">IFERROR(__xludf.DUMMYFUNCTION("""COMPUTED_VALUE"""),"Prioridad 2")</f>
        <v>Prioridad 2</v>
      </c>
      <c r="J802" s="43" t="s">
        <v>262</v>
      </c>
    </row>
    <row r="803" spans="2:10">
      <c r="B803" s="25" t="str">
        <f ca="1">IFERROR(__xludf.DUMMYFUNCTION("""COMPUTED_VALUE"""),"MUNICIPALIDAD DISTRITAL")</f>
        <v>MUNICIPALIDAD DISTRITAL</v>
      </c>
      <c r="C803" s="25" t="str">
        <f ca="1">IFERROR(__xludf.DUMMYFUNCTION("""COMPUTED_VALUE"""),"MUNICIPALIDAD DISTRITAL DE COLCHA")</f>
        <v>MUNICIPALIDAD DISTRITAL DE COLCHA</v>
      </c>
      <c r="D803" s="25" t="str">
        <f ca="1">IFERROR(__xludf.DUMMYFUNCTION("""COMPUTED_VALUE"""),"CUZCO")</f>
        <v>CUZCO</v>
      </c>
      <c r="E803" s="25" t="str">
        <f ca="1">IFERROR(__xludf.DUMMYFUNCTION("""COMPUTED_VALUE"""),"CUZCO")</f>
        <v>CUZCO</v>
      </c>
      <c r="F803" s="25" t="str">
        <f ca="1">IFERROR(__xludf.DUMMYFUNCTION("""COMPUTED_VALUE"""),"PARURO")</f>
        <v>PARURO</v>
      </c>
      <c r="G803" s="25" t="str">
        <f ca="1">IFERROR(__xludf.DUMMYFUNCTION("""COMPUTED_VALUE"""),"COLCHA")</f>
        <v>COLCHA</v>
      </c>
      <c r="H803" s="25" t="str">
        <f ca="1">IFERROR(__xludf.DUMMYFUNCTION("""COMPUTED_VALUE"""),"RURAL")</f>
        <v>RURAL</v>
      </c>
      <c r="I803" s="25" t="str">
        <f ca="1">IFERROR(__xludf.DUMMYFUNCTION("""COMPUTED_VALUE"""),"Prioridad 3")</f>
        <v>Prioridad 3</v>
      </c>
      <c r="J803" s="43" t="s">
        <v>262</v>
      </c>
    </row>
    <row r="804" spans="2:10">
      <c r="B804" s="25" t="str">
        <f ca="1">IFERROR(__xludf.DUMMYFUNCTION("""COMPUTED_VALUE"""),"MUNICIPALIDAD DISTRITAL")</f>
        <v>MUNICIPALIDAD DISTRITAL</v>
      </c>
      <c r="C804" s="25" t="str">
        <f ca="1">IFERROR(__xludf.DUMMYFUNCTION("""COMPUTED_VALUE"""),"MUNICIPALIDAD DISTRITAL DE PILLPINTO")</f>
        <v>MUNICIPALIDAD DISTRITAL DE PILLPINTO</v>
      </c>
      <c r="D804" s="25" t="str">
        <f ca="1">IFERROR(__xludf.DUMMYFUNCTION("""COMPUTED_VALUE"""),"CUZCO")</f>
        <v>CUZCO</v>
      </c>
      <c r="E804" s="25" t="str">
        <f ca="1">IFERROR(__xludf.DUMMYFUNCTION("""COMPUTED_VALUE"""),"CUZCO")</f>
        <v>CUZCO</v>
      </c>
      <c r="F804" s="25" t="str">
        <f ca="1">IFERROR(__xludf.DUMMYFUNCTION("""COMPUTED_VALUE"""),"PARURO")</f>
        <v>PARURO</v>
      </c>
      <c r="G804" s="25" t="str">
        <f ca="1">IFERROR(__xludf.DUMMYFUNCTION("""COMPUTED_VALUE"""),"PILLPINTO")</f>
        <v>PILLPINTO</v>
      </c>
      <c r="H804" s="25" t="str">
        <f ca="1">IFERROR(__xludf.DUMMYFUNCTION("""COMPUTED_VALUE"""),"RURAL")</f>
        <v>RURAL</v>
      </c>
      <c r="I804" s="25" t="str">
        <f ca="1">IFERROR(__xludf.DUMMYFUNCTION("""COMPUTED_VALUE"""),"Prioridad 4")</f>
        <v>Prioridad 4</v>
      </c>
      <c r="J804" s="43" t="s">
        <v>262</v>
      </c>
    </row>
    <row r="805" spans="2:10">
      <c r="B805" s="25" t="str">
        <f ca="1">IFERROR(__xludf.DUMMYFUNCTION("""COMPUTED_VALUE"""),"MUNICIPALIDAD DISTRITAL")</f>
        <v>MUNICIPALIDAD DISTRITAL</v>
      </c>
      <c r="C805" s="25" t="str">
        <f ca="1">IFERROR(__xludf.DUMMYFUNCTION("""COMPUTED_VALUE"""),"MUNICIPALIDAD DISTRITAL DE ACCHA")</f>
        <v>MUNICIPALIDAD DISTRITAL DE ACCHA</v>
      </c>
      <c r="D805" s="25" t="str">
        <f ca="1">IFERROR(__xludf.DUMMYFUNCTION("""COMPUTED_VALUE"""),"CUZCO")</f>
        <v>CUZCO</v>
      </c>
      <c r="E805" s="25" t="str">
        <f ca="1">IFERROR(__xludf.DUMMYFUNCTION("""COMPUTED_VALUE"""),"CUZCO")</f>
        <v>CUZCO</v>
      </c>
      <c r="F805" s="25" t="str">
        <f ca="1">IFERROR(__xludf.DUMMYFUNCTION("""COMPUTED_VALUE"""),"PARURO")</f>
        <v>PARURO</v>
      </c>
      <c r="G805" s="25" t="str">
        <f ca="1">IFERROR(__xludf.DUMMYFUNCTION("""COMPUTED_VALUE"""),"ACCHA")</f>
        <v>ACCHA</v>
      </c>
      <c r="H805" s="25" t="str">
        <f ca="1">IFERROR(__xludf.DUMMYFUNCTION("""COMPUTED_VALUE"""),"RURAL")</f>
        <v>RURAL</v>
      </c>
      <c r="I805" s="25" t="str">
        <f ca="1">IFERROR(__xludf.DUMMYFUNCTION("""COMPUTED_VALUE"""),"Prioridad 3")</f>
        <v>Prioridad 3</v>
      </c>
      <c r="J805" s="43" t="s">
        <v>262</v>
      </c>
    </row>
    <row r="806" spans="2:10">
      <c r="B806" s="25" t="str">
        <f ca="1">IFERROR(__xludf.DUMMYFUNCTION("""COMPUTED_VALUE"""),"MUNICIPALIDAD DISTRITAL")</f>
        <v>MUNICIPALIDAD DISTRITAL</v>
      </c>
      <c r="C806" s="25" t="str">
        <f ca="1">IFERROR(__xludf.DUMMYFUNCTION("""COMPUTED_VALUE"""),"MUNICIPALIDAD DISTRITAL DE CCAPI")</f>
        <v>MUNICIPALIDAD DISTRITAL DE CCAPI</v>
      </c>
      <c r="D806" s="25" t="str">
        <f ca="1">IFERROR(__xludf.DUMMYFUNCTION("""COMPUTED_VALUE"""),"CUZCO")</f>
        <v>CUZCO</v>
      </c>
      <c r="E806" s="25" t="str">
        <f ca="1">IFERROR(__xludf.DUMMYFUNCTION("""COMPUTED_VALUE"""),"CUZCO")</f>
        <v>CUZCO</v>
      </c>
      <c r="F806" s="25" t="str">
        <f ca="1">IFERROR(__xludf.DUMMYFUNCTION("""COMPUTED_VALUE"""),"PARURO")</f>
        <v>PARURO</v>
      </c>
      <c r="G806" s="25" t="str">
        <f ca="1">IFERROR(__xludf.DUMMYFUNCTION("""COMPUTED_VALUE"""),"CCAPI")</f>
        <v>CCAPI</v>
      </c>
      <c r="H806" s="25" t="str">
        <f ca="1">IFERROR(__xludf.DUMMYFUNCTION("""COMPUTED_VALUE"""),"RURAL")</f>
        <v>RURAL</v>
      </c>
      <c r="I806" s="25" t="str">
        <f ca="1">IFERROR(__xludf.DUMMYFUNCTION("""COMPUTED_VALUE"""),"Prioridad 3")</f>
        <v>Prioridad 3</v>
      </c>
      <c r="J806" s="43" t="s">
        <v>262</v>
      </c>
    </row>
    <row r="807" spans="2:10">
      <c r="B807" s="25" t="str">
        <f ca="1">IFERROR(__xludf.DUMMYFUNCTION("""COMPUTED_VALUE"""),"MUNICIPALIDAD DISTRITAL")</f>
        <v>MUNICIPALIDAD DISTRITAL</v>
      </c>
      <c r="C807" s="25" t="str">
        <f ca="1">IFERROR(__xludf.DUMMYFUNCTION("""COMPUTED_VALUE"""),"MUNICIPALIDAD DISTRITAL DE HUANOQUITE")</f>
        <v>MUNICIPALIDAD DISTRITAL DE HUANOQUITE</v>
      </c>
      <c r="D807" s="25" t="str">
        <f ca="1">IFERROR(__xludf.DUMMYFUNCTION("""COMPUTED_VALUE"""),"CUZCO")</f>
        <v>CUZCO</v>
      </c>
      <c r="E807" s="25" t="str">
        <f ca="1">IFERROR(__xludf.DUMMYFUNCTION("""COMPUTED_VALUE"""),"CUZCO")</f>
        <v>CUZCO</v>
      </c>
      <c r="F807" s="25" t="str">
        <f ca="1">IFERROR(__xludf.DUMMYFUNCTION("""COMPUTED_VALUE"""),"PARURO")</f>
        <v>PARURO</v>
      </c>
      <c r="G807" s="25" t="str">
        <f ca="1">IFERROR(__xludf.DUMMYFUNCTION("""COMPUTED_VALUE"""),"HUANOQUITE")</f>
        <v>HUANOQUITE</v>
      </c>
      <c r="H807" s="25" t="str">
        <f ca="1">IFERROR(__xludf.DUMMYFUNCTION("""COMPUTED_VALUE"""),"RURAL")</f>
        <v>RURAL</v>
      </c>
      <c r="I807" s="25" t="str">
        <f ca="1">IFERROR(__xludf.DUMMYFUNCTION("""COMPUTED_VALUE"""),"Prioridad 3")</f>
        <v>Prioridad 3</v>
      </c>
      <c r="J807" s="43" t="s">
        <v>262</v>
      </c>
    </row>
    <row r="808" spans="2:10">
      <c r="B808" s="25" t="str">
        <f ca="1">IFERROR(__xludf.DUMMYFUNCTION("""COMPUTED_VALUE"""),"MUNICIPALIDAD DISTRITAL")</f>
        <v>MUNICIPALIDAD DISTRITAL</v>
      </c>
      <c r="C808" s="25" t="str">
        <f ca="1">IFERROR(__xludf.DUMMYFUNCTION("""COMPUTED_VALUE"""),"MUNICIPALIDAD DISTRITAL DE OMACHA")</f>
        <v>MUNICIPALIDAD DISTRITAL DE OMACHA</v>
      </c>
      <c r="D808" s="25" t="str">
        <f ca="1">IFERROR(__xludf.DUMMYFUNCTION("""COMPUTED_VALUE"""),"CUZCO")</f>
        <v>CUZCO</v>
      </c>
      <c r="E808" s="25" t="str">
        <f ca="1">IFERROR(__xludf.DUMMYFUNCTION("""COMPUTED_VALUE"""),"CUZCO")</f>
        <v>CUZCO</v>
      </c>
      <c r="F808" s="25" t="str">
        <f ca="1">IFERROR(__xludf.DUMMYFUNCTION("""COMPUTED_VALUE"""),"PARURO")</f>
        <v>PARURO</v>
      </c>
      <c r="G808" s="25" t="str">
        <f ca="1">IFERROR(__xludf.DUMMYFUNCTION("""COMPUTED_VALUE"""),"OMACHA")</f>
        <v>OMACHA</v>
      </c>
      <c r="H808" s="25" t="str">
        <f ca="1">IFERROR(__xludf.DUMMYFUNCTION("""COMPUTED_VALUE"""),"RURAL")</f>
        <v>RURAL</v>
      </c>
      <c r="I808" s="25" t="str">
        <f ca="1">IFERROR(__xludf.DUMMYFUNCTION("""COMPUTED_VALUE"""),"Prioridad 5")</f>
        <v>Prioridad 5</v>
      </c>
      <c r="J808" s="43" t="s">
        <v>262</v>
      </c>
    </row>
    <row r="809" spans="2:10">
      <c r="B809" s="25" t="str">
        <f ca="1">IFERROR(__xludf.DUMMYFUNCTION("""COMPUTED_VALUE"""),"MUNICIPALIDAD DISTRITAL")</f>
        <v>MUNICIPALIDAD DISTRITAL</v>
      </c>
      <c r="C809" s="25" t="str">
        <f ca="1">IFERROR(__xludf.DUMMYFUNCTION("""COMPUTED_VALUE"""),"MUNICIPALIDAD DISTRITAL DE PACCARITAMBO")</f>
        <v>MUNICIPALIDAD DISTRITAL DE PACCARITAMBO</v>
      </c>
      <c r="D809" s="25" t="str">
        <f ca="1">IFERROR(__xludf.DUMMYFUNCTION("""COMPUTED_VALUE"""),"CUZCO")</f>
        <v>CUZCO</v>
      </c>
      <c r="E809" s="25" t="str">
        <f ca="1">IFERROR(__xludf.DUMMYFUNCTION("""COMPUTED_VALUE"""),"CUZCO")</f>
        <v>CUZCO</v>
      </c>
      <c r="F809" s="25" t="str">
        <f ca="1">IFERROR(__xludf.DUMMYFUNCTION("""COMPUTED_VALUE"""),"PARURO")</f>
        <v>PARURO</v>
      </c>
      <c r="G809" s="25" t="str">
        <f ca="1">IFERROR(__xludf.DUMMYFUNCTION("""COMPUTED_VALUE"""),"PACCARITAMBO")</f>
        <v>PACCARITAMBO</v>
      </c>
      <c r="H809" s="25" t="str">
        <f ca="1">IFERROR(__xludf.DUMMYFUNCTION("""COMPUTED_VALUE"""),"RURAL")</f>
        <v>RURAL</v>
      </c>
      <c r="I809" s="25" t="str">
        <f ca="1">IFERROR(__xludf.DUMMYFUNCTION("""COMPUTED_VALUE"""),"Prioridad 3")</f>
        <v>Prioridad 3</v>
      </c>
      <c r="J809" s="43" t="s">
        <v>262</v>
      </c>
    </row>
    <row r="810" spans="2:10">
      <c r="B810" s="25" t="str">
        <f ca="1">IFERROR(__xludf.DUMMYFUNCTION("""COMPUTED_VALUE"""),"MUNICIPALIDAD DISTRITAL")</f>
        <v>MUNICIPALIDAD DISTRITAL</v>
      </c>
      <c r="C810" s="25" t="str">
        <f ca="1">IFERROR(__xludf.DUMMYFUNCTION("""COMPUTED_VALUE"""),"MUNICIPALIDAD DISTRITAL DE YAURISQUE")</f>
        <v>MUNICIPALIDAD DISTRITAL DE YAURISQUE</v>
      </c>
      <c r="D810" s="25" t="str">
        <f ca="1">IFERROR(__xludf.DUMMYFUNCTION("""COMPUTED_VALUE"""),"CUZCO")</f>
        <v>CUZCO</v>
      </c>
      <c r="E810" s="25" t="str">
        <f ca="1">IFERROR(__xludf.DUMMYFUNCTION("""COMPUTED_VALUE"""),"CUZCO")</f>
        <v>CUZCO</v>
      </c>
      <c r="F810" s="25" t="str">
        <f ca="1">IFERROR(__xludf.DUMMYFUNCTION("""COMPUTED_VALUE"""),"PARURO")</f>
        <v>PARURO</v>
      </c>
      <c r="G810" s="25" t="str">
        <f ca="1">IFERROR(__xludf.DUMMYFUNCTION("""COMPUTED_VALUE"""),"YAURISQUE")</f>
        <v>YAURISQUE</v>
      </c>
      <c r="H810" s="25" t="str">
        <f ca="1">IFERROR(__xludf.DUMMYFUNCTION("""COMPUTED_VALUE"""),"RURAL")</f>
        <v>RURAL</v>
      </c>
      <c r="I810" s="25" t="str">
        <f ca="1">IFERROR(__xludf.DUMMYFUNCTION("""COMPUTED_VALUE"""),"Prioridad 2")</f>
        <v>Prioridad 2</v>
      </c>
      <c r="J810" s="43" t="s">
        <v>262</v>
      </c>
    </row>
    <row r="811" spans="2:10">
      <c r="B811" s="25" t="str">
        <f ca="1">IFERROR(__xludf.DUMMYFUNCTION("""COMPUTED_VALUE"""),"MUNICIPALIDAD PROVINCIAL")</f>
        <v>MUNICIPALIDAD PROVINCIAL</v>
      </c>
      <c r="C811" s="25" t="str">
        <f ca="1">IFERROR(__xludf.DUMMYFUNCTION("""COMPUTED_VALUE"""),"MUNICIPALIDAD PROVINCIAL DE PAUCARTAMBO")</f>
        <v>MUNICIPALIDAD PROVINCIAL DE PAUCARTAMBO</v>
      </c>
      <c r="D811" s="25" t="str">
        <f ca="1">IFERROR(__xludf.DUMMYFUNCTION("""COMPUTED_VALUE"""),"CUZCO")</f>
        <v>CUZCO</v>
      </c>
      <c r="E811" s="25" t="str">
        <f ca="1">IFERROR(__xludf.DUMMYFUNCTION("""COMPUTED_VALUE"""),"CUZCO")</f>
        <v>CUZCO</v>
      </c>
      <c r="F811" s="25" t="str">
        <f ca="1">IFERROR(__xludf.DUMMYFUNCTION("""COMPUTED_VALUE"""),"PAUCARTAMBO")</f>
        <v>PAUCARTAMBO</v>
      </c>
      <c r="G811" s="25" t="str">
        <f ca="1">IFERROR(__xludf.DUMMYFUNCTION("""COMPUTED_VALUE"""),"PAUCARTAMBO")</f>
        <v>PAUCARTAMBO</v>
      </c>
      <c r="H811" s="25" t="str">
        <f ca="1">IFERROR(__xludf.DUMMYFUNCTION("""COMPUTED_VALUE"""),"RURAL")</f>
        <v>RURAL</v>
      </c>
      <c r="I811" s="25" t="str">
        <f ca="1">IFERROR(__xludf.DUMMYFUNCTION("""COMPUTED_VALUE"""),"Prioridad 2")</f>
        <v>Prioridad 2</v>
      </c>
      <c r="J811" s="43" t="s">
        <v>262</v>
      </c>
    </row>
    <row r="812" spans="2:10">
      <c r="B812" s="25" t="str">
        <f ca="1">IFERROR(__xludf.DUMMYFUNCTION("""COMPUTED_VALUE"""),"MUNICIPALIDAD DISTRITAL")</f>
        <v>MUNICIPALIDAD DISTRITAL</v>
      </c>
      <c r="C812" s="25" t="str">
        <f ca="1">IFERROR(__xludf.DUMMYFUNCTION("""COMPUTED_VALUE"""),"MUNICIPALIDAD DISTRITAL DE CAICAY")</f>
        <v>MUNICIPALIDAD DISTRITAL DE CAICAY</v>
      </c>
      <c r="D812" s="25" t="str">
        <f ca="1">IFERROR(__xludf.DUMMYFUNCTION("""COMPUTED_VALUE"""),"CUZCO")</f>
        <v>CUZCO</v>
      </c>
      <c r="E812" s="25" t="str">
        <f ca="1">IFERROR(__xludf.DUMMYFUNCTION("""COMPUTED_VALUE"""),"CUZCO")</f>
        <v>CUZCO</v>
      </c>
      <c r="F812" s="25" t="str">
        <f ca="1">IFERROR(__xludf.DUMMYFUNCTION("""COMPUTED_VALUE"""),"PAUCARTAMBO")</f>
        <v>PAUCARTAMBO</v>
      </c>
      <c r="G812" s="25" t="str">
        <f ca="1">IFERROR(__xludf.DUMMYFUNCTION("""COMPUTED_VALUE"""),"CAICAY")</f>
        <v>CAICAY</v>
      </c>
      <c r="H812" s="25" t="str">
        <f ca="1">IFERROR(__xludf.DUMMYFUNCTION("""COMPUTED_VALUE"""),"RURAL")</f>
        <v>RURAL</v>
      </c>
      <c r="I812" s="25" t="str">
        <f ca="1">IFERROR(__xludf.DUMMYFUNCTION("""COMPUTED_VALUE"""),"Prioridad 3")</f>
        <v>Prioridad 3</v>
      </c>
      <c r="J812" s="43" t="s">
        <v>262</v>
      </c>
    </row>
    <row r="813" spans="2:10">
      <c r="B813" s="25" t="str">
        <f ca="1">IFERROR(__xludf.DUMMYFUNCTION("""COMPUTED_VALUE"""),"MUNICIPALIDAD DISTRITAL")</f>
        <v>MUNICIPALIDAD DISTRITAL</v>
      </c>
      <c r="C813" s="25" t="str">
        <f ca="1">IFERROR(__xludf.DUMMYFUNCTION("""COMPUTED_VALUE"""),"MUNICIPALIDAD DISTRITAL DE CHALLABAMBA")</f>
        <v>MUNICIPALIDAD DISTRITAL DE CHALLABAMBA</v>
      </c>
      <c r="D813" s="25" t="str">
        <f ca="1">IFERROR(__xludf.DUMMYFUNCTION("""COMPUTED_VALUE"""),"CUZCO")</f>
        <v>CUZCO</v>
      </c>
      <c r="E813" s="25" t="str">
        <f ca="1">IFERROR(__xludf.DUMMYFUNCTION("""COMPUTED_VALUE"""),"CUZCO")</f>
        <v>CUZCO</v>
      </c>
      <c r="F813" s="25" t="str">
        <f ca="1">IFERROR(__xludf.DUMMYFUNCTION("""COMPUTED_VALUE"""),"PAUCARTAMBO")</f>
        <v>PAUCARTAMBO</v>
      </c>
      <c r="G813" s="25" t="str">
        <f ca="1">IFERROR(__xludf.DUMMYFUNCTION("""COMPUTED_VALUE"""),"CHALLABAMBA")</f>
        <v>CHALLABAMBA</v>
      </c>
      <c r="H813" s="25" t="str">
        <f ca="1">IFERROR(__xludf.DUMMYFUNCTION("""COMPUTED_VALUE"""),"RURAL")</f>
        <v>RURAL</v>
      </c>
      <c r="I813" s="25" t="str">
        <f ca="1">IFERROR(__xludf.DUMMYFUNCTION("""COMPUTED_VALUE"""),"Prioridad 2")</f>
        <v>Prioridad 2</v>
      </c>
      <c r="J813" s="43" t="s">
        <v>262</v>
      </c>
    </row>
    <row r="814" spans="2:10">
      <c r="B814" s="25" t="str">
        <f ca="1">IFERROR(__xludf.DUMMYFUNCTION("""COMPUTED_VALUE"""),"MUNICIPALIDAD DISTRITAL")</f>
        <v>MUNICIPALIDAD DISTRITAL</v>
      </c>
      <c r="C814" s="25" t="str">
        <f ca="1">IFERROR(__xludf.DUMMYFUNCTION("""COMPUTED_VALUE"""),"MUNICIPALIDAD DISTRITAL DE COLQUEPATA")</f>
        <v>MUNICIPALIDAD DISTRITAL DE COLQUEPATA</v>
      </c>
      <c r="D814" s="25" t="str">
        <f ca="1">IFERROR(__xludf.DUMMYFUNCTION("""COMPUTED_VALUE"""),"CUZCO")</f>
        <v>CUZCO</v>
      </c>
      <c r="E814" s="25" t="str">
        <f ca="1">IFERROR(__xludf.DUMMYFUNCTION("""COMPUTED_VALUE"""),"CUZCO")</f>
        <v>CUZCO</v>
      </c>
      <c r="F814" s="25" t="str">
        <f ca="1">IFERROR(__xludf.DUMMYFUNCTION("""COMPUTED_VALUE"""),"PAUCARTAMBO")</f>
        <v>PAUCARTAMBO</v>
      </c>
      <c r="G814" s="25" t="str">
        <f ca="1">IFERROR(__xludf.DUMMYFUNCTION("""COMPUTED_VALUE"""),"COLQUEPATA")</f>
        <v>COLQUEPATA</v>
      </c>
      <c r="H814" s="25" t="str">
        <f ca="1">IFERROR(__xludf.DUMMYFUNCTION("""COMPUTED_VALUE"""),"RURAL")</f>
        <v>RURAL</v>
      </c>
      <c r="I814" s="25" t="str">
        <f ca="1">IFERROR(__xludf.DUMMYFUNCTION("""COMPUTED_VALUE"""),"Prioridad 5")</f>
        <v>Prioridad 5</v>
      </c>
      <c r="J814" s="43" t="s">
        <v>262</v>
      </c>
    </row>
    <row r="815" spans="2:10">
      <c r="B815" s="25" t="str">
        <f ca="1">IFERROR(__xludf.DUMMYFUNCTION("""COMPUTED_VALUE"""),"MUNICIPALIDAD DISTRITAL")</f>
        <v>MUNICIPALIDAD DISTRITAL</v>
      </c>
      <c r="C815" s="25" t="str">
        <f ca="1">IFERROR(__xludf.DUMMYFUNCTION("""COMPUTED_VALUE"""),"MUNICIPALIDAD DISTRITAL DE HUANCARANI")</f>
        <v>MUNICIPALIDAD DISTRITAL DE HUANCARANI</v>
      </c>
      <c r="D815" s="25" t="str">
        <f ca="1">IFERROR(__xludf.DUMMYFUNCTION("""COMPUTED_VALUE"""),"CUZCO")</f>
        <v>CUZCO</v>
      </c>
      <c r="E815" s="25" t="str">
        <f ca="1">IFERROR(__xludf.DUMMYFUNCTION("""COMPUTED_VALUE"""),"CUZCO")</f>
        <v>CUZCO</v>
      </c>
      <c r="F815" s="25" t="str">
        <f ca="1">IFERROR(__xludf.DUMMYFUNCTION("""COMPUTED_VALUE"""),"PAUCARTAMBO")</f>
        <v>PAUCARTAMBO</v>
      </c>
      <c r="G815" s="25" t="str">
        <f ca="1">IFERROR(__xludf.DUMMYFUNCTION("""COMPUTED_VALUE"""),"HUANCARANI")</f>
        <v>HUANCARANI</v>
      </c>
      <c r="H815" s="25" t="str">
        <f ca="1">IFERROR(__xludf.DUMMYFUNCTION("""COMPUTED_VALUE"""),"RURAL")</f>
        <v>RURAL</v>
      </c>
      <c r="I815" s="25" t="str">
        <f ca="1">IFERROR(__xludf.DUMMYFUNCTION("""COMPUTED_VALUE"""),"Prioridad 3")</f>
        <v>Prioridad 3</v>
      </c>
      <c r="J815" s="43" t="s">
        <v>262</v>
      </c>
    </row>
    <row r="816" spans="2:10">
      <c r="B816" s="25" t="str">
        <f ca="1">IFERROR(__xludf.DUMMYFUNCTION("""COMPUTED_VALUE"""),"MUNICIPALIDAD DISTRITAL")</f>
        <v>MUNICIPALIDAD DISTRITAL</v>
      </c>
      <c r="C816" s="25" t="str">
        <f ca="1">IFERROR(__xludf.DUMMYFUNCTION("""COMPUTED_VALUE"""),"MUNICIPALIDAD DISTRITAL DE KOSÑIPATA")</f>
        <v>MUNICIPALIDAD DISTRITAL DE KOSÑIPATA</v>
      </c>
      <c r="D816" s="25" t="str">
        <f ca="1">IFERROR(__xludf.DUMMYFUNCTION("""COMPUTED_VALUE"""),"CUZCO")</f>
        <v>CUZCO</v>
      </c>
      <c r="E816" s="25" t="str">
        <f ca="1">IFERROR(__xludf.DUMMYFUNCTION("""COMPUTED_VALUE"""),"CUZCO")</f>
        <v>CUZCO</v>
      </c>
      <c r="F816" s="25" t="str">
        <f ca="1">IFERROR(__xludf.DUMMYFUNCTION("""COMPUTED_VALUE"""),"PAUCARTAMBO")</f>
        <v>PAUCARTAMBO</v>
      </c>
      <c r="G816" s="25" t="str">
        <f ca="1">IFERROR(__xludf.DUMMYFUNCTION("""COMPUTED_VALUE"""),"KOSÑIPATA")</f>
        <v>KOSÑIPATA</v>
      </c>
      <c r="H816" s="25" t="str">
        <f ca="1">IFERROR(__xludf.DUMMYFUNCTION("""COMPUTED_VALUE"""),"RURAL")</f>
        <v>RURAL</v>
      </c>
      <c r="I816" s="25" t="str">
        <f ca="1">IFERROR(__xludf.DUMMYFUNCTION("""COMPUTED_VALUE"""),"Prioridad 2")</f>
        <v>Prioridad 2</v>
      </c>
      <c r="J816" s="43" t="s">
        <v>262</v>
      </c>
    </row>
    <row r="817" spans="2:10">
      <c r="B817" s="25" t="str">
        <f ca="1">IFERROR(__xludf.DUMMYFUNCTION("""COMPUTED_VALUE"""),"MUNICIPALIDAD PROVINCIAL")</f>
        <v>MUNICIPALIDAD PROVINCIAL</v>
      </c>
      <c r="C817" s="25" t="str">
        <f ca="1">IFERROR(__xludf.DUMMYFUNCTION("""COMPUTED_VALUE"""),"MUNICIPALIDAD PROVINCIAL DE QUISPICANCHI")</f>
        <v>MUNICIPALIDAD PROVINCIAL DE QUISPICANCHI</v>
      </c>
      <c r="D817" s="25" t="str">
        <f ca="1">IFERROR(__xludf.DUMMYFUNCTION("""COMPUTED_VALUE"""),"CUZCO")</f>
        <v>CUZCO</v>
      </c>
      <c r="E817" s="25" t="str">
        <f ca="1">IFERROR(__xludf.DUMMYFUNCTION("""COMPUTED_VALUE"""),"CUZCO")</f>
        <v>CUZCO</v>
      </c>
      <c r="F817" s="25" t="str">
        <f ca="1">IFERROR(__xludf.DUMMYFUNCTION("""COMPUTED_VALUE"""),"QUISPICANCHI")</f>
        <v>QUISPICANCHI</v>
      </c>
      <c r="G817" s="25" t="str">
        <f ca="1">IFERROR(__xludf.DUMMYFUNCTION("""COMPUTED_VALUE"""),"URCOS")</f>
        <v>URCOS</v>
      </c>
      <c r="H817" s="25" t="str">
        <f ca="1">IFERROR(__xludf.DUMMYFUNCTION("""COMPUTED_VALUE"""),"URBANO")</f>
        <v>URBANO</v>
      </c>
      <c r="I817" s="25" t="str">
        <f ca="1">IFERROR(__xludf.DUMMYFUNCTION("""COMPUTED_VALUE"""),"Prioridad 1")</f>
        <v>Prioridad 1</v>
      </c>
      <c r="J817" s="43" t="s">
        <v>262</v>
      </c>
    </row>
    <row r="818" spans="2:10">
      <c r="B818" s="25" t="str">
        <f ca="1">IFERROR(__xludf.DUMMYFUNCTION("""COMPUTED_VALUE"""),"MUNICIPALIDAD DISTRITAL")</f>
        <v>MUNICIPALIDAD DISTRITAL</v>
      </c>
      <c r="C818" s="25" t="str">
        <f ca="1">IFERROR(__xludf.DUMMYFUNCTION("""COMPUTED_VALUE"""),"MUNICIPALIDAD DISTRITAL DE ANDAHUAYLILLAS")</f>
        <v>MUNICIPALIDAD DISTRITAL DE ANDAHUAYLILLAS</v>
      </c>
      <c r="D818" s="25" t="str">
        <f ca="1">IFERROR(__xludf.DUMMYFUNCTION("""COMPUTED_VALUE"""),"CUZCO")</f>
        <v>CUZCO</v>
      </c>
      <c r="E818" s="25" t="str">
        <f ca="1">IFERROR(__xludf.DUMMYFUNCTION("""COMPUTED_VALUE"""),"CUZCO")</f>
        <v>CUZCO</v>
      </c>
      <c r="F818" s="25" t="str">
        <f ca="1">IFERROR(__xludf.DUMMYFUNCTION("""COMPUTED_VALUE"""),"QUISPICANCHI")</f>
        <v>QUISPICANCHI</v>
      </c>
      <c r="G818" s="25" t="str">
        <f ca="1">IFERROR(__xludf.DUMMYFUNCTION("""COMPUTED_VALUE"""),"ANDAHUAYLILLAS")</f>
        <v>ANDAHUAYLILLAS</v>
      </c>
      <c r="H818" s="25" t="str">
        <f ca="1">IFERROR(__xludf.DUMMYFUNCTION("""COMPUTED_VALUE"""),"URBANO")</f>
        <v>URBANO</v>
      </c>
      <c r="I818" s="25" t="str">
        <f ca="1">IFERROR(__xludf.DUMMYFUNCTION("""COMPUTED_VALUE"""),"Prioridad 1")</f>
        <v>Prioridad 1</v>
      </c>
      <c r="J818" s="43" t="s">
        <v>262</v>
      </c>
    </row>
    <row r="819" spans="2:10">
      <c r="B819" s="25" t="str">
        <f ca="1">IFERROR(__xludf.DUMMYFUNCTION("""COMPUTED_VALUE"""),"MUNICIPALIDAD DISTRITAL")</f>
        <v>MUNICIPALIDAD DISTRITAL</v>
      </c>
      <c r="C819" s="25" t="str">
        <f ca="1">IFERROR(__xludf.DUMMYFUNCTION("""COMPUTED_VALUE"""),"MUNICIPALIDAD DISTRITAL DE CAMANTI")</f>
        <v>MUNICIPALIDAD DISTRITAL DE CAMANTI</v>
      </c>
      <c r="D819" s="25" t="str">
        <f ca="1">IFERROR(__xludf.DUMMYFUNCTION("""COMPUTED_VALUE"""),"CUZCO")</f>
        <v>CUZCO</v>
      </c>
      <c r="E819" s="25" t="str">
        <f ca="1">IFERROR(__xludf.DUMMYFUNCTION("""COMPUTED_VALUE"""),"CUZCO")</f>
        <v>CUZCO</v>
      </c>
      <c r="F819" s="25" t="str">
        <f ca="1">IFERROR(__xludf.DUMMYFUNCTION("""COMPUTED_VALUE"""),"QUISPICANCHI")</f>
        <v>QUISPICANCHI</v>
      </c>
      <c r="G819" s="25" t="str">
        <f ca="1">IFERROR(__xludf.DUMMYFUNCTION("""COMPUTED_VALUE"""),"CAMANTI")</f>
        <v>CAMANTI</v>
      </c>
      <c r="H819" s="25" t="str">
        <f ca="1">IFERROR(__xludf.DUMMYFUNCTION("""COMPUTED_VALUE"""),"RURAL")</f>
        <v>RURAL</v>
      </c>
      <c r="I819" s="25" t="str">
        <f ca="1">IFERROR(__xludf.DUMMYFUNCTION("""COMPUTED_VALUE"""),"Prioridad 1")</f>
        <v>Prioridad 1</v>
      </c>
      <c r="J819" s="43" t="s">
        <v>262</v>
      </c>
    </row>
    <row r="820" spans="2:10">
      <c r="B820" s="25" t="str">
        <f ca="1">IFERROR(__xludf.DUMMYFUNCTION("""COMPUTED_VALUE"""),"MUNICIPALIDAD DISTRITAL")</f>
        <v>MUNICIPALIDAD DISTRITAL</v>
      </c>
      <c r="C820" s="25" t="str">
        <f ca="1">IFERROR(__xludf.DUMMYFUNCTION("""COMPUTED_VALUE"""),"MUNICIPALIDAD DISTRITAL DE LUCRE EN QUISPICANCHI")</f>
        <v>MUNICIPALIDAD DISTRITAL DE LUCRE EN QUISPICANCHI</v>
      </c>
      <c r="D820" s="25" t="str">
        <f ca="1">IFERROR(__xludf.DUMMYFUNCTION("""COMPUTED_VALUE"""),"CUZCO")</f>
        <v>CUZCO</v>
      </c>
      <c r="E820" s="25" t="str">
        <f ca="1">IFERROR(__xludf.DUMMYFUNCTION("""COMPUTED_VALUE"""),"CUZCO")</f>
        <v>CUZCO</v>
      </c>
      <c r="F820" s="25" t="str">
        <f ca="1">IFERROR(__xludf.DUMMYFUNCTION("""COMPUTED_VALUE"""),"QUISPICANCHI")</f>
        <v>QUISPICANCHI</v>
      </c>
      <c r="G820" s="25" t="str">
        <f ca="1">IFERROR(__xludf.DUMMYFUNCTION("""COMPUTED_VALUE"""),"LUCRE")</f>
        <v>LUCRE</v>
      </c>
      <c r="H820" s="25" t="str">
        <f ca="1">IFERROR(__xludf.DUMMYFUNCTION("""COMPUTED_VALUE"""),"URBANO")</f>
        <v>URBANO</v>
      </c>
      <c r="I820" s="25" t="str">
        <f ca="1">IFERROR(__xludf.DUMMYFUNCTION("""COMPUTED_VALUE"""),"Prioridad 2")</f>
        <v>Prioridad 2</v>
      </c>
      <c r="J820" s="43" t="s">
        <v>262</v>
      </c>
    </row>
    <row r="821" spans="2:10">
      <c r="B821" s="25" t="str">
        <f ca="1">IFERROR(__xludf.DUMMYFUNCTION("""COMPUTED_VALUE"""),"MUNICIPALIDAD DISTRITAL")</f>
        <v>MUNICIPALIDAD DISTRITAL</v>
      </c>
      <c r="C821" s="25" t="str">
        <f ca="1">IFERROR(__xludf.DUMMYFUNCTION("""COMPUTED_VALUE"""),"MUNICIPALIDAD DISTRITAL DE OROPESA EN QUISPICANCHI")</f>
        <v>MUNICIPALIDAD DISTRITAL DE OROPESA EN QUISPICANCHI</v>
      </c>
      <c r="D821" s="25" t="str">
        <f ca="1">IFERROR(__xludf.DUMMYFUNCTION("""COMPUTED_VALUE"""),"CUZCO")</f>
        <v>CUZCO</v>
      </c>
      <c r="E821" s="25" t="str">
        <f ca="1">IFERROR(__xludf.DUMMYFUNCTION("""COMPUTED_VALUE"""),"CUZCO")</f>
        <v>CUZCO</v>
      </c>
      <c r="F821" s="25" t="str">
        <f ca="1">IFERROR(__xludf.DUMMYFUNCTION("""COMPUTED_VALUE"""),"QUISPICANCHI")</f>
        <v>QUISPICANCHI</v>
      </c>
      <c r="G821" s="25" t="str">
        <f ca="1">IFERROR(__xludf.DUMMYFUNCTION("""COMPUTED_VALUE"""),"OROPESA")</f>
        <v>OROPESA</v>
      </c>
      <c r="H821" s="25" t="str">
        <f ca="1">IFERROR(__xludf.DUMMYFUNCTION("""COMPUTED_VALUE"""),"URBANO")</f>
        <v>URBANO</v>
      </c>
      <c r="I821" s="25" t="str">
        <f ca="1">IFERROR(__xludf.DUMMYFUNCTION("""COMPUTED_VALUE"""),"Prioridad 1")</f>
        <v>Prioridad 1</v>
      </c>
      <c r="J821" s="43" t="s">
        <v>262</v>
      </c>
    </row>
    <row r="822" spans="2:10">
      <c r="B822" s="25" t="str">
        <f ca="1">IFERROR(__xludf.DUMMYFUNCTION("""COMPUTED_VALUE"""),"MUNICIPALIDAD DISTRITAL")</f>
        <v>MUNICIPALIDAD DISTRITAL</v>
      </c>
      <c r="C822" s="25" t="str">
        <f ca="1">IFERROR(__xludf.DUMMYFUNCTION("""COMPUTED_VALUE"""),"MUNICIPALIDAD DISTRITAL DE CCARHUAYO")</f>
        <v>MUNICIPALIDAD DISTRITAL DE CCARHUAYO</v>
      </c>
      <c r="D822" s="25" t="str">
        <f ca="1">IFERROR(__xludf.DUMMYFUNCTION("""COMPUTED_VALUE"""),"CUZCO")</f>
        <v>CUZCO</v>
      </c>
      <c r="E822" s="25" t="str">
        <f ca="1">IFERROR(__xludf.DUMMYFUNCTION("""COMPUTED_VALUE"""),"CUZCO")</f>
        <v>CUZCO</v>
      </c>
      <c r="F822" s="25" t="str">
        <f ca="1">IFERROR(__xludf.DUMMYFUNCTION("""COMPUTED_VALUE"""),"QUISPICANCHI")</f>
        <v>QUISPICANCHI</v>
      </c>
      <c r="G822" s="25" t="str">
        <f ca="1">IFERROR(__xludf.DUMMYFUNCTION("""COMPUTED_VALUE"""),"CCARHUAYO")</f>
        <v>CCARHUAYO</v>
      </c>
      <c r="H822" s="25" t="str">
        <f ca="1">IFERROR(__xludf.DUMMYFUNCTION("""COMPUTED_VALUE"""),"RURAL")</f>
        <v>RURAL</v>
      </c>
      <c r="I822" s="25" t="str">
        <f ca="1">IFERROR(__xludf.DUMMYFUNCTION("""COMPUTED_VALUE"""),"Prioridad 2")</f>
        <v>Prioridad 2</v>
      </c>
      <c r="J822" s="43" t="s">
        <v>262</v>
      </c>
    </row>
    <row r="823" spans="2:10">
      <c r="B823" s="25" t="str">
        <f ca="1">IFERROR(__xludf.DUMMYFUNCTION("""COMPUTED_VALUE"""),"MUNICIPALIDAD DISTRITAL")</f>
        <v>MUNICIPALIDAD DISTRITAL</v>
      </c>
      <c r="C823" s="25" t="str">
        <f ca="1">IFERROR(__xludf.DUMMYFUNCTION("""COMPUTED_VALUE"""),"MUNICIPALIDAD DISTRITAL DE CCATCA")</f>
        <v>MUNICIPALIDAD DISTRITAL DE CCATCA</v>
      </c>
      <c r="D823" s="25" t="str">
        <f ca="1">IFERROR(__xludf.DUMMYFUNCTION("""COMPUTED_VALUE"""),"CUZCO")</f>
        <v>CUZCO</v>
      </c>
      <c r="E823" s="25" t="str">
        <f ca="1">IFERROR(__xludf.DUMMYFUNCTION("""COMPUTED_VALUE"""),"CUZCO")</f>
        <v>CUZCO</v>
      </c>
      <c r="F823" s="25" t="str">
        <f ca="1">IFERROR(__xludf.DUMMYFUNCTION("""COMPUTED_VALUE"""),"QUISPICANCHI")</f>
        <v>QUISPICANCHI</v>
      </c>
      <c r="G823" s="25" t="str">
        <f ca="1">IFERROR(__xludf.DUMMYFUNCTION("""COMPUTED_VALUE"""),"CCATCA")</f>
        <v>CCATCA</v>
      </c>
      <c r="H823" s="25" t="str">
        <f ca="1">IFERROR(__xludf.DUMMYFUNCTION("""COMPUTED_VALUE"""),"RURAL")</f>
        <v>RURAL</v>
      </c>
      <c r="I823" s="25" t="str">
        <f ca="1">IFERROR(__xludf.DUMMYFUNCTION("""COMPUTED_VALUE"""),"Prioridad 3")</f>
        <v>Prioridad 3</v>
      </c>
      <c r="J823" s="43" t="s">
        <v>262</v>
      </c>
    </row>
    <row r="824" spans="2:10">
      <c r="B824" s="25" t="str">
        <f ca="1">IFERROR(__xludf.DUMMYFUNCTION("""COMPUTED_VALUE"""),"MUNICIPALIDAD DISTRITAL")</f>
        <v>MUNICIPALIDAD DISTRITAL</v>
      </c>
      <c r="C824" s="25" t="str">
        <f ca="1">IFERROR(__xludf.DUMMYFUNCTION("""COMPUTED_VALUE"""),"MUNICIPALIDAD DISTRITAL DE CUSIPATA")</f>
        <v>MUNICIPALIDAD DISTRITAL DE CUSIPATA</v>
      </c>
      <c r="D824" s="25" t="str">
        <f ca="1">IFERROR(__xludf.DUMMYFUNCTION("""COMPUTED_VALUE"""),"CUZCO")</f>
        <v>CUZCO</v>
      </c>
      <c r="E824" s="25" t="str">
        <f ca="1">IFERROR(__xludf.DUMMYFUNCTION("""COMPUTED_VALUE"""),"CUZCO")</f>
        <v>CUZCO</v>
      </c>
      <c r="F824" s="25" t="str">
        <f ca="1">IFERROR(__xludf.DUMMYFUNCTION("""COMPUTED_VALUE"""),"QUISPICANCHI")</f>
        <v>QUISPICANCHI</v>
      </c>
      <c r="G824" s="25" t="str">
        <f ca="1">IFERROR(__xludf.DUMMYFUNCTION("""COMPUTED_VALUE"""),"CUSIPATA")</f>
        <v>CUSIPATA</v>
      </c>
      <c r="H824" s="25" t="str">
        <f ca="1">IFERROR(__xludf.DUMMYFUNCTION("""COMPUTED_VALUE"""),"RURAL")</f>
        <v>RURAL</v>
      </c>
      <c r="I824" s="25" t="str">
        <f ca="1">IFERROR(__xludf.DUMMYFUNCTION("""COMPUTED_VALUE"""),"Prioridad 3")</f>
        <v>Prioridad 3</v>
      </c>
      <c r="J824" s="43" t="s">
        <v>262</v>
      </c>
    </row>
    <row r="825" spans="2:10">
      <c r="B825" s="25" t="str">
        <f ca="1">IFERROR(__xludf.DUMMYFUNCTION("""COMPUTED_VALUE"""),"MUNICIPALIDAD DISTRITAL")</f>
        <v>MUNICIPALIDAD DISTRITAL</v>
      </c>
      <c r="C825" s="25" t="str">
        <f ca="1">IFERROR(__xludf.DUMMYFUNCTION("""COMPUTED_VALUE"""),"MUNICIPALIDAD DISTRITAL DE HUARO")</f>
        <v>MUNICIPALIDAD DISTRITAL DE HUARO</v>
      </c>
      <c r="D825" s="25" t="str">
        <f ca="1">IFERROR(__xludf.DUMMYFUNCTION("""COMPUTED_VALUE"""),"CUZCO")</f>
        <v>CUZCO</v>
      </c>
      <c r="E825" s="25" t="str">
        <f ca="1">IFERROR(__xludf.DUMMYFUNCTION("""COMPUTED_VALUE"""),"CUZCO")</f>
        <v>CUZCO</v>
      </c>
      <c r="F825" s="25" t="str">
        <f ca="1">IFERROR(__xludf.DUMMYFUNCTION("""COMPUTED_VALUE"""),"QUISPICANCHI")</f>
        <v>QUISPICANCHI</v>
      </c>
      <c r="G825" s="25" t="str">
        <f ca="1">IFERROR(__xludf.DUMMYFUNCTION("""COMPUTED_VALUE"""),"HUARO")</f>
        <v>HUARO</v>
      </c>
      <c r="H825" s="25" t="str">
        <f ca="1">IFERROR(__xludf.DUMMYFUNCTION("""COMPUTED_VALUE"""),"URBANO")</f>
        <v>URBANO</v>
      </c>
      <c r="I825" s="25" t="str">
        <f ca="1">IFERROR(__xludf.DUMMYFUNCTION("""COMPUTED_VALUE"""),"Prioridad 2")</f>
        <v>Prioridad 2</v>
      </c>
      <c r="J825" s="43" t="s">
        <v>262</v>
      </c>
    </row>
    <row r="826" spans="2:10">
      <c r="B826" s="25" t="str">
        <f ca="1">IFERROR(__xludf.DUMMYFUNCTION("""COMPUTED_VALUE"""),"MUNICIPALIDAD DISTRITAL")</f>
        <v>MUNICIPALIDAD DISTRITAL</v>
      </c>
      <c r="C826" s="25" t="str">
        <f ca="1">IFERROR(__xludf.DUMMYFUNCTION("""COMPUTED_VALUE"""),"MUNICIPALIDAD DISTRITAL DE MARCAPATA")</f>
        <v>MUNICIPALIDAD DISTRITAL DE MARCAPATA</v>
      </c>
      <c r="D826" s="25" t="str">
        <f ca="1">IFERROR(__xludf.DUMMYFUNCTION("""COMPUTED_VALUE"""),"CUZCO")</f>
        <v>CUZCO</v>
      </c>
      <c r="E826" s="25" t="str">
        <f ca="1">IFERROR(__xludf.DUMMYFUNCTION("""COMPUTED_VALUE"""),"CUZCO")</f>
        <v>CUZCO</v>
      </c>
      <c r="F826" s="25" t="str">
        <f ca="1">IFERROR(__xludf.DUMMYFUNCTION("""COMPUTED_VALUE"""),"QUISPICANCHI")</f>
        <v>QUISPICANCHI</v>
      </c>
      <c r="G826" s="25" t="str">
        <f ca="1">IFERROR(__xludf.DUMMYFUNCTION("""COMPUTED_VALUE"""),"MARCAPATA")</f>
        <v>MARCAPATA</v>
      </c>
      <c r="H826" s="25" t="str">
        <f ca="1">IFERROR(__xludf.DUMMYFUNCTION("""COMPUTED_VALUE"""),"RURAL")</f>
        <v>RURAL</v>
      </c>
      <c r="I826" s="25" t="str">
        <f ca="1">IFERROR(__xludf.DUMMYFUNCTION("""COMPUTED_VALUE"""),"Prioridad 2")</f>
        <v>Prioridad 2</v>
      </c>
      <c r="J826" s="43" t="s">
        <v>262</v>
      </c>
    </row>
    <row r="827" spans="2:10">
      <c r="B827" s="25" t="str">
        <f ca="1">IFERROR(__xludf.DUMMYFUNCTION("""COMPUTED_VALUE"""),"MUNICIPALIDAD DISTRITAL")</f>
        <v>MUNICIPALIDAD DISTRITAL</v>
      </c>
      <c r="C827" s="25" t="str">
        <f ca="1">IFERROR(__xludf.DUMMYFUNCTION("""COMPUTED_VALUE"""),"MUNICIPALIDAD DISTRITAL DE OCONGATE")</f>
        <v>MUNICIPALIDAD DISTRITAL DE OCONGATE</v>
      </c>
      <c r="D827" s="25" t="str">
        <f ca="1">IFERROR(__xludf.DUMMYFUNCTION("""COMPUTED_VALUE"""),"CUZCO")</f>
        <v>CUZCO</v>
      </c>
      <c r="E827" s="25" t="str">
        <f ca="1">IFERROR(__xludf.DUMMYFUNCTION("""COMPUTED_VALUE"""),"CUZCO")</f>
        <v>CUZCO</v>
      </c>
      <c r="F827" s="25" t="str">
        <f ca="1">IFERROR(__xludf.DUMMYFUNCTION("""COMPUTED_VALUE"""),"QUISPICANCHI")</f>
        <v>QUISPICANCHI</v>
      </c>
      <c r="G827" s="25" t="str">
        <f ca="1">IFERROR(__xludf.DUMMYFUNCTION("""COMPUTED_VALUE"""),"OCONGATE")</f>
        <v>OCONGATE</v>
      </c>
      <c r="H827" s="25" t="str">
        <f ca="1">IFERROR(__xludf.DUMMYFUNCTION("""COMPUTED_VALUE"""),"RURAL")</f>
        <v>RURAL</v>
      </c>
      <c r="I827" s="25" t="str">
        <f ca="1">IFERROR(__xludf.DUMMYFUNCTION("""COMPUTED_VALUE"""),"Prioridad 3")</f>
        <v>Prioridad 3</v>
      </c>
      <c r="J827" s="43" t="s">
        <v>262</v>
      </c>
    </row>
    <row r="828" spans="2:10">
      <c r="B828" s="25" t="str">
        <f ca="1">IFERROR(__xludf.DUMMYFUNCTION("""COMPUTED_VALUE"""),"MUNICIPALIDAD DISTRITAL")</f>
        <v>MUNICIPALIDAD DISTRITAL</v>
      </c>
      <c r="C828" s="25" t="str">
        <f ca="1">IFERROR(__xludf.DUMMYFUNCTION("""COMPUTED_VALUE"""),"MUNICIPALIDAD DISTRITAL DE QUIQUIJANA")</f>
        <v>MUNICIPALIDAD DISTRITAL DE QUIQUIJANA</v>
      </c>
      <c r="D828" s="25" t="str">
        <f ca="1">IFERROR(__xludf.DUMMYFUNCTION("""COMPUTED_VALUE"""),"CUZCO")</f>
        <v>CUZCO</v>
      </c>
      <c r="E828" s="25" t="str">
        <f ca="1">IFERROR(__xludf.DUMMYFUNCTION("""COMPUTED_VALUE"""),"CUZCO")</f>
        <v>CUZCO</v>
      </c>
      <c r="F828" s="25" t="str">
        <f ca="1">IFERROR(__xludf.DUMMYFUNCTION("""COMPUTED_VALUE"""),"QUISPICANCHI")</f>
        <v>QUISPICANCHI</v>
      </c>
      <c r="G828" s="25" t="str">
        <f ca="1">IFERROR(__xludf.DUMMYFUNCTION("""COMPUTED_VALUE"""),"QUIQUIJANA")</f>
        <v>QUIQUIJANA</v>
      </c>
      <c r="H828" s="25" t="str">
        <f ca="1">IFERROR(__xludf.DUMMYFUNCTION("""COMPUTED_VALUE"""),"RURAL")</f>
        <v>RURAL</v>
      </c>
      <c r="I828" s="25" t="str">
        <f ca="1">IFERROR(__xludf.DUMMYFUNCTION("""COMPUTED_VALUE"""),"Prioridad 2")</f>
        <v>Prioridad 2</v>
      </c>
      <c r="J828" s="43" t="s">
        <v>262</v>
      </c>
    </row>
    <row r="829" spans="2:10">
      <c r="B829" s="25" t="str">
        <f ca="1">IFERROR(__xludf.DUMMYFUNCTION("""COMPUTED_VALUE"""),"MUNICIPALIDAD PROVINCIAL")</f>
        <v>MUNICIPALIDAD PROVINCIAL</v>
      </c>
      <c r="C829" s="25" t="str">
        <f ca="1">IFERROR(__xludf.DUMMYFUNCTION("""COMPUTED_VALUE"""),"MUNICIPALIDAD PROVINCIAL DE URUBAMBA")</f>
        <v>MUNICIPALIDAD PROVINCIAL DE URUBAMBA</v>
      </c>
      <c r="D829" s="25" t="str">
        <f ca="1">IFERROR(__xludf.DUMMYFUNCTION("""COMPUTED_VALUE"""),"CUZCO")</f>
        <v>CUZCO</v>
      </c>
      <c r="E829" s="25" t="str">
        <f ca="1">IFERROR(__xludf.DUMMYFUNCTION("""COMPUTED_VALUE"""),"CUZCO")</f>
        <v>CUZCO</v>
      </c>
      <c r="F829" s="25" t="str">
        <f ca="1">IFERROR(__xludf.DUMMYFUNCTION("""COMPUTED_VALUE"""),"URUBAMBA")</f>
        <v>URUBAMBA</v>
      </c>
      <c r="G829" s="25" t="str">
        <f ca="1">IFERROR(__xludf.DUMMYFUNCTION("""COMPUTED_VALUE"""),"URUBAMBA")</f>
        <v>URUBAMBA</v>
      </c>
      <c r="H829" s="25" t="str">
        <f ca="1">IFERROR(__xludf.DUMMYFUNCTION("""COMPUTED_VALUE"""),"URBANO")</f>
        <v>URBANO</v>
      </c>
      <c r="I829" s="25" t="str">
        <f ca="1">IFERROR(__xludf.DUMMYFUNCTION("""COMPUTED_VALUE"""),"Prioridad 1")</f>
        <v>Prioridad 1</v>
      </c>
      <c r="J829" s="43" t="s">
        <v>262</v>
      </c>
    </row>
    <row r="830" spans="2:10">
      <c r="B830" s="25" t="str">
        <f ca="1">IFERROR(__xludf.DUMMYFUNCTION("""COMPUTED_VALUE"""),"MUNICIPALIDAD DISTRITAL")</f>
        <v>MUNICIPALIDAD DISTRITAL</v>
      </c>
      <c r="C830" s="25" t="str">
        <f ca="1">IFERROR(__xludf.DUMMYFUNCTION("""COMPUTED_VALUE"""),"MUNICIPALIDAD DISTRITAL DE MACHUPICCHU")</f>
        <v>MUNICIPALIDAD DISTRITAL DE MACHUPICCHU</v>
      </c>
      <c r="D830" s="25" t="str">
        <f ca="1">IFERROR(__xludf.DUMMYFUNCTION("""COMPUTED_VALUE"""),"CUZCO")</f>
        <v>CUZCO</v>
      </c>
      <c r="E830" s="25" t="str">
        <f ca="1">IFERROR(__xludf.DUMMYFUNCTION("""COMPUTED_VALUE"""),"CUZCO")</f>
        <v>CUZCO</v>
      </c>
      <c r="F830" s="25" t="str">
        <f ca="1">IFERROR(__xludf.DUMMYFUNCTION("""COMPUTED_VALUE"""),"URUBAMBA")</f>
        <v>URUBAMBA</v>
      </c>
      <c r="G830" s="25" t="str">
        <f ca="1">IFERROR(__xludf.DUMMYFUNCTION("""COMPUTED_VALUE"""),"MACHUPICCHU")</f>
        <v>MACHUPICCHU</v>
      </c>
      <c r="H830" s="25" t="str">
        <f ca="1">IFERROR(__xludf.DUMMYFUNCTION("""COMPUTED_VALUE"""),"URBANO")</f>
        <v>URBANO</v>
      </c>
      <c r="I830" s="25" t="str">
        <f ca="1">IFERROR(__xludf.DUMMYFUNCTION("""COMPUTED_VALUE"""),"Prioridad 1")</f>
        <v>Prioridad 1</v>
      </c>
      <c r="J830" s="43" t="s">
        <v>262</v>
      </c>
    </row>
    <row r="831" spans="2:10">
      <c r="B831" s="25" t="str">
        <f ca="1">IFERROR(__xludf.DUMMYFUNCTION("""COMPUTED_VALUE"""),"MUNICIPALIDAD DISTRITAL")</f>
        <v>MUNICIPALIDAD DISTRITAL</v>
      </c>
      <c r="C831" s="25" t="str">
        <f ca="1">IFERROR(__xludf.DUMMYFUNCTION("""COMPUTED_VALUE"""),"MUNICIPALIDAD DISTRITAL DE CHINCHERO")</f>
        <v>MUNICIPALIDAD DISTRITAL DE CHINCHERO</v>
      </c>
      <c r="D831" s="25" t="str">
        <f ca="1">IFERROR(__xludf.DUMMYFUNCTION("""COMPUTED_VALUE"""),"CUZCO")</f>
        <v>CUZCO</v>
      </c>
      <c r="E831" s="25" t="str">
        <f ca="1">IFERROR(__xludf.DUMMYFUNCTION("""COMPUTED_VALUE"""),"CUZCO")</f>
        <v>CUZCO</v>
      </c>
      <c r="F831" s="25" t="str">
        <f ca="1">IFERROR(__xludf.DUMMYFUNCTION("""COMPUTED_VALUE"""),"URUBAMBA")</f>
        <v>URUBAMBA</v>
      </c>
      <c r="G831" s="25" t="str">
        <f ca="1">IFERROR(__xludf.DUMMYFUNCTION("""COMPUTED_VALUE"""),"CHINCHERO")</f>
        <v>CHINCHERO</v>
      </c>
      <c r="H831" s="25" t="str">
        <f ca="1">IFERROR(__xludf.DUMMYFUNCTION("""COMPUTED_VALUE"""),"RURAL")</f>
        <v>RURAL</v>
      </c>
      <c r="I831" s="25" t="str">
        <f ca="1">IFERROR(__xludf.DUMMYFUNCTION("""COMPUTED_VALUE"""),"Prioridad 2")</f>
        <v>Prioridad 2</v>
      </c>
      <c r="J831" s="43" t="s">
        <v>262</v>
      </c>
    </row>
    <row r="832" spans="2:10">
      <c r="B832" s="25" t="str">
        <f ca="1">IFERROR(__xludf.DUMMYFUNCTION("""COMPUTED_VALUE"""),"MUNICIPALIDAD DISTRITAL")</f>
        <v>MUNICIPALIDAD DISTRITAL</v>
      </c>
      <c r="C832" s="25" t="str">
        <f ca="1">IFERROR(__xludf.DUMMYFUNCTION("""COMPUTED_VALUE"""),"MUNICIPALIDAD DISTRITAL DE HUAYLLABAMBA EN URUBAMBA")</f>
        <v>MUNICIPALIDAD DISTRITAL DE HUAYLLABAMBA EN URUBAMBA</v>
      </c>
      <c r="D832" s="25" t="str">
        <f ca="1">IFERROR(__xludf.DUMMYFUNCTION("""COMPUTED_VALUE"""),"CUZCO")</f>
        <v>CUZCO</v>
      </c>
      <c r="E832" s="25" t="str">
        <f ca="1">IFERROR(__xludf.DUMMYFUNCTION("""COMPUTED_VALUE"""),"CUZCO")</f>
        <v>CUZCO</v>
      </c>
      <c r="F832" s="25" t="str">
        <f ca="1">IFERROR(__xludf.DUMMYFUNCTION("""COMPUTED_VALUE"""),"URUBAMBA")</f>
        <v>URUBAMBA</v>
      </c>
      <c r="G832" s="25" t="str">
        <f ca="1">IFERROR(__xludf.DUMMYFUNCTION("""COMPUTED_VALUE"""),"HUAYLLABAMBA")</f>
        <v>HUAYLLABAMBA</v>
      </c>
      <c r="H832" s="25" t="str">
        <f ca="1">IFERROR(__xludf.DUMMYFUNCTION("""COMPUTED_VALUE"""),"RURAL")</f>
        <v>RURAL</v>
      </c>
      <c r="I832" s="25" t="str">
        <f ca="1">IFERROR(__xludf.DUMMYFUNCTION("""COMPUTED_VALUE"""),"Prioridad 3")</f>
        <v>Prioridad 3</v>
      </c>
      <c r="J832" s="43" t="s">
        <v>262</v>
      </c>
    </row>
    <row r="833" spans="2:10">
      <c r="B833" s="25" t="str">
        <f ca="1">IFERROR(__xludf.DUMMYFUNCTION("""COMPUTED_VALUE"""),"MUNICIPALIDAD DISTRITAL")</f>
        <v>MUNICIPALIDAD DISTRITAL</v>
      </c>
      <c r="C833" s="25" t="str">
        <f ca="1">IFERROR(__xludf.DUMMYFUNCTION("""COMPUTED_VALUE"""),"MUNICIPALIDAD DISTRITAL DE YUCAY")</f>
        <v>MUNICIPALIDAD DISTRITAL DE YUCAY</v>
      </c>
      <c r="D833" s="25" t="str">
        <f ca="1">IFERROR(__xludf.DUMMYFUNCTION("""COMPUTED_VALUE"""),"CUZCO")</f>
        <v>CUZCO</v>
      </c>
      <c r="E833" s="25" t="str">
        <f ca="1">IFERROR(__xludf.DUMMYFUNCTION("""COMPUTED_VALUE"""),"CUZCO")</f>
        <v>CUZCO</v>
      </c>
      <c r="F833" s="25" t="str">
        <f ca="1">IFERROR(__xludf.DUMMYFUNCTION("""COMPUTED_VALUE"""),"URUBAMBA")</f>
        <v>URUBAMBA</v>
      </c>
      <c r="G833" s="25" t="str">
        <f ca="1">IFERROR(__xludf.DUMMYFUNCTION("""COMPUTED_VALUE"""),"YUCAY")</f>
        <v>YUCAY</v>
      </c>
      <c r="H833" s="25" t="str">
        <f ca="1">IFERROR(__xludf.DUMMYFUNCTION("""COMPUTED_VALUE"""),"URBANO")</f>
        <v>URBANO</v>
      </c>
      <c r="I833" s="25" t="str">
        <f ca="1">IFERROR(__xludf.DUMMYFUNCTION("""COMPUTED_VALUE"""),"Prioridad 1")</f>
        <v>Prioridad 1</v>
      </c>
      <c r="J833" s="43" t="s">
        <v>262</v>
      </c>
    </row>
    <row r="834" spans="2:10">
      <c r="B834" s="25" t="str">
        <f ca="1">IFERROR(__xludf.DUMMYFUNCTION("""COMPUTED_VALUE"""),"MUNICIPALIDAD DISTRITAL")</f>
        <v>MUNICIPALIDAD DISTRITAL</v>
      </c>
      <c r="C834" s="25" t="str">
        <f ca="1">IFERROR(__xludf.DUMMYFUNCTION("""COMPUTED_VALUE"""),"MUNICIPALIDAD DISTRITAL DE OLLANTAYTAMBO")</f>
        <v>MUNICIPALIDAD DISTRITAL DE OLLANTAYTAMBO</v>
      </c>
      <c r="D834" s="25" t="str">
        <f ca="1">IFERROR(__xludf.DUMMYFUNCTION("""COMPUTED_VALUE"""),"CUZCO")</f>
        <v>CUZCO</v>
      </c>
      <c r="E834" s="25" t="str">
        <f ca="1">IFERROR(__xludf.DUMMYFUNCTION("""COMPUTED_VALUE"""),"CUZCO")</f>
        <v>CUZCO</v>
      </c>
      <c r="F834" s="25" t="str">
        <f ca="1">IFERROR(__xludf.DUMMYFUNCTION("""COMPUTED_VALUE"""),"URUBAMBA")</f>
        <v>URUBAMBA</v>
      </c>
      <c r="G834" s="25" t="str">
        <f ca="1">IFERROR(__xludf.DUMMYFUNCTION("""COMPUTED_VALUE"""),"OLLANTAYTAMBO")</f>
        <v>OLLANTAYTAMBO</v>
      </c>
      <c r="H834" s="25" t="str">
        <f ca="1">IFERROR(__xludf.DUMMYFUNCTION("""COMPUTED_VALUE"""),"RURAL")</f>
        <v>RURAL</v>
      </c>
      <c r="I834" s="25" t="str">
        <f ca="1">IFERROR(__xludf.DUMMYFUNCTION("""COMPUTED_VALUE"""),"Prioridad 2")</f>
        <v>Prioridad 2</v>
      </c>
      <c r="J834" s="43" t="s">
        <v>262</v>
      </c>
    </row>
    <row r="835" spans="2:10">
      <c r="B835" s="25" t="str">
        <f ca="1">IFERROR(__xludf.DUMMYFUNCTION("""COMPUTED_VALUE"""),"MUNICIPALIDAD DISTRITAL")</f>
        <v>MUNICIPALIDAD DISTRITAL</v>
      </c>
      <c r="C835" s="25" t="str">
        <f ca="1">IFERROR(__xludf.DUMMYFUNCTION("""COMPUTED_VALUE"""),"MUNICIPALIDAD DISTRITAL DE MARAS")</f>
        <v>MUNICIPALIDAD DISTRITAL DE MARAS</v>
      </c>
      <c r="D835" s="25" t="str">
        <f ca="1">IFERROR(__xludf.DUMMYFUNCTION("""COMPUTED_VALUE"""),"CUZCO")</f>
        <v>CUZCO</v>
      </c>
      <c r="E835" s="25" t="str">
        <f ca="1">IFERROR(__xludf.DUMMYFUNCTION("""COMPUTED_VALUE"""),"CUZCO")</f>
        <v>CUZCO</v>
      </c>
      <c r="F835" s="25" t="str">
        <f ca="1">IFERROR(__xludf.DUMMYFUNCTION("""COMPUTED_VALUE"""),"URUBAMBA")</f>
        <v>URUBAMBA</v>
      </c>
      <c r="G835" s="25" t="str">
        <f ca="1">IFERROR(__xludf.DUMMYFUNCTION("""COMPUTED_VALUE"""),"MARAS")</f>
        <v>MARAS</v>
      </c>
      <c r="H835" s="25" t="str">
        <f ca="1">IFERROR(__xludf.DUMMYFUNCTION("""COMPUTED_VALUE"""),"RURAL")</f>
        <v>RURAL</v>
      </c>
      <c r="I835" s="25" t="str">
        <f ca="1">IFERROR(__xludf.DUMMYFUNCTION("""COMPUTED_VALUE"""),"Prioridad 2")</f>
        <v>Prioridad 2</v>
      </c>
      <c r="J835" s="43" t="s">
        <v>262</v>
      </c>
    </row>
    <row r="836" spans="2:10">
      <c r="B836" s="25" t="str">
        <f ca="1">IFERROR(__xludf.DUMMYFUNCTION("""COMPUTED_VALUE"""),"MUNICIPALIDAD PROVINCIAL")</f>
        <v>MUNICIPALIDAD PROVINCIAL</v>
      </c>
      <c r="C836" s="25" t="str">
        <f ca="1">IFERROR(__xludf.DUMMYFUNCTION("""COMPUTED_VALUE"""),"MUNICIPALIDAD PROVINCIAL DE ACOBAMBA")</f>
        <v>MUNICIPALIDAD PROVINCIAL DE ACOBAMBA</v>
      </c>
      <c r="D836" s="25" t="str">
        <f ca="1">IFERROR(__xludf.DUMMYFUNCTION("""COMPUTED_VALUE"""),"JUNÍN")</f>
        <v>JUNÍN</v>
      </c>
      <c r="E836" s="25" t="str">
        <f ca="1">IFERROR(__xludf.DUMMYFUNCTION("""COMPUTED_VALUE"""),"HUANCAVELICA")</f>
        <v>HUANCAVELICA</v>
      </c>
      <c r="F836" s="25" t="str">
        <f ca="1">IFERROR(__xludf.DUMMYFUNCTION("""COMPUTED_VALUE"""),"ACOBAMBA")</f>
        <v>ACOBAMBA</v>
      </c>
      <c r="G836" s="25" t="str">
        <f ca="1">IFERROR(__xludf.DUMMYFUNCTION("""COMPUTED_VALUE"""),"ACOBAMBA")</f>
        <v>ACOBAMBA</v>
      </c>
      <c r="H836" s="25" t="str">
        <f ca="1">IFERROR(__xludf.DUMMYFUNCTION("""COMPUTED_VALUE"""),"URBANO")</f>
        <v>URBANO</v>
      </c>
      <c r="I836" s="25" t="str">
        <f ca="1">IFERROR(__xludf.DUMMYFUNCTION("""COMPUTED_VALUE"""),"Prioridad 1")</f>
        <v>Prioridad 1</v>
      </c>
      <c r="J836" s="43" t="s">
        <v>262</v>
      </c>
    </row>
    <row r="837" spans="2:10">
      <c r="B837" s="25" t="str">
        <f ca="1">IFERROR(__xludf.DUMMYFUNCTION("""COMPUTED_VALUE"""),"MUNICIPALIDAD DISTRITAL")</f>
        <v>MUNICIPALIDAD DISTRITAL</v>
      </c>
      <c r="C837" s="25" t="str">
        <f ca="1">IFERROR(__xludf.DUMMYFUNCTION("""COMPUTED_VALUE"""),"MUNICIPALIDAD DISTRITAL DE ANDABAMBA EN ACOBAMBA")</f>
        <v>MUNICIPALIDAD DISTRITAL DE ANDABAMBA EN ACOBAMBA</v>
      </c>
      <c r="D837" s="25" t="str">
        <f ca="1">IFERROR(__xludf.DUMMYFUNCTION("""COMPUTED_VALUE"""),"JUNÍN")</f>
        <v>JUNÍN</v>
      </c>
      <c r="E837" s="25" t="str">
        <f ca="1">IFERROR(__xludf.DUMMYFUNCTION("""COMPUTED_VALUE"""),"HUANCAVELICA")</f>
        <v>HUANCAVELICA</v>
      </c>
      <c r="F837" s="25" t="str">
        <f ca="1">IFERROR(__xludf.DUMMYFUNCTION("""COMPUTED_VALUE"""),"ACOBAMBA")</f>
        <v>ACOBAMBA</v>
      </c>
      <c r="G837" s="25" t="str">
        <f ca="1">IFERROR(__xludf.DUMMYFUNCTION("""COMPUTED_VALUE"""),"ANDABAMBA")</f>
        <v>ANDABAMBA</v>
      </c>
      <c r="H837" s="25" t="str">
        <f ca="1">IFERROR(__xludf.DUMMYFUNCTION("""COMPUTED_VALUE"""),"RURAL")</f>
        <v>RURAL</v>
      </c>
      <c r="I837" s="25" t="str">
        <f ca="1">IFERROR(__xludf.DUMMYFUNCTION("""COMPUTED_VALUE"""),"Prioridad 4")</f>
        <v>Prioridad 4</v>
      </c>
      <c r="J837" s="43" t="s">
        <v>262</v>
      </c>
    </row>
    <row r="838" spans="2:10">
      <c r="B838" s="25" t="str">
        <f ca="1">IFERROR(__xludf.DUMMYFUNCTION("""COMPUTED_VALUE"""),"MUNICIPALIDAD DISTRITAL")</f>
        <v>MUNICIPALIDAD DISTRITAL</v>
      </c>
      <c r="C838" s="25" t="str">
        <f ca="1">IFERROR(__xludf.DUMMYFUNCTION("""COMPUTED_VALUE"""),"MUNICIPALIDAD DISTRITAL DE ANTA EN ACOBAMBA")</f>
        <v>MUNICIPALIDAD DISTRITAL DE ANTA EN ACOBAMBA</v>
      </c>
      <c r="D838" s="25" t="str">
        <f ca="1">IFERROR(__xludf.DUMMYFUNCTION("""COMPUTED_VALUE"""),"JUNÍN")</f>
        <v>JUNÍN</v>
      </c>
      <c r="E838" s="25" t="str">
        <f ca="1">IFERROR(__xludf.DUMMYFUNCTION("""COMPUTED_VALUE"""),"HUANCAVELICA")</f>
        <v>HUANCAVELICA</v>
      </c>
      <c r="F838" s="25" t="str">
        <f ca="1">IFERROR(__xludf.DUMMYFUNCTION("""COMPUTED_VALUE"""),"ACOBAMBA")</f>
        <v>ACOBAMBA</v>
      </c>
      <c r="G838" s="25" t="str">
        <f ca="1">IFERROR(__xludf.DUMMYFUNCTION("""COMPUTED_VALUE"""),"ANTA")</f>
        <v>ANTA</v>
      </c>
      <c r="H838" s="25" t="str">
        <f ca="1">IFERROR(__xludf.DUMMYFUNCTION("""COMPUTED_VALUE"""),"RURAL")</f>
        <v>RURAL</v>
      </c>
      <c r="I838" s="25" t="str">
        <f ca="1">IFERROR(__xludf.DUMMYFUNCTION("""COMPUTED_VALUE"""),"Prioridad 4")</f>
        <v>Prioridad 4</v>
      </c>
      <c r="J838" s="43" t="s">
        <v>262</v>
      </c>
    </row>
    <row r="839" spans="2:10">
      <c r="B839" s="25" t="str">
        <f ca="1">IFERROR(__xludf.DUMMYFUNCTION("""COMPUTED_VALUE"""),"MUNICIPALIDAD DISTRITAL")</f>
        <v>MUNICIPALIDAD DISTRITAL</v>
      </c>
      <c r="C839" s="25" t="str">
        <f ca="1">IFERROR(__xludf.DUMMYFUNCTION("""COMPUTED_VALUE"""),"MUNICIPALIDAD DISTRITAL DE CAJA")</f>
        <v>MUNICIPALIDAD DISTRITAL DE CAJA</v>
      </c>
      <c r="D839" s="25" t="str">
        <f ca="1">IFERROR(__xludf.DUMMYFUNCTION("""COMPUTED_VALUE"""),"JUNÍN")</f>
        <v>JUNÍN</v>
      </c>
      <c r="E839" s="25" t="str">
        <f ca="1">IFERROR(__xludf.DUMMYFUNCTION("""COMPUTED_VALUE"""),"HUANCAVELICA")</f>
        <v>HUANCAVELICA</v>
      </c>
      <c r="F839" s="25" t="str">
        <f ca="1">IFERROR(__xludf.DUMMYFUNCTION("""COMPUTED_VALUE"""),"ACOBAMBA")</f>
        <v>ACOBAMBA</v>
      </c>
      <c r="G839" s="25" t="str">
        <f ca="1">IFERROR(__xludf.DUMMYFUNCTION("""COMPUTED_VALUE"""),"CAJA")</f>
        <v>CAJA</v>
      </c>
      <c r="H839" s="25" t="str">
        <f ca="1">IFERROR(__xludf.DUMMYFUNCTION("""COMPUTED_VALUE"""),"RURAL")</f>
        <v>RURAL</v>
      </c>
      <c r="I839" s="25" t="str">
        <f ca="1">IFERROR(__xludf.DUMMYFUNCTION("""COMPUTED_VALUE"""),"Prioridad 4")</f>
        <v>Prioridad 4</v>
      </c>
      <c r="J839" s="43" t="s">
        <v>262</v>
      </c>
    </row>
    <row r="840" spans="2:10">
      <c r="B840" s="25" t="str">
        <f ca="1">IFERROR(__xludf.DUMMYFUNCTION("""COMPUTED_VALUE"""),"MUNICIPALIDAD DISTRITAL")</f>
        <v>MUNICIPALIDAD DISTRITAL</v>
      </c>
      <c r="C840" s="25" t="str">
        <f ca="1">IFERROR(__xludf.DUMMYFUNCTION("""COMPUTED_VALUE"""),"MUNICIPALIDAD DISTRITAL DE MARCAS")</f>
        <v>MUNICIPALIDAD DISTRITAL DE MARCAS</v>
      </c>
      <c r="D840" s="25" t="str">
        <f ca="1">IFERROR(__xludf.DUMMYFUNCTION("""COMPUTED_VALUE"""),"JUNÍN")</f>
        <v>JUNÍN</v>
      </c>
      <c r="E840" s="25" t="str">
        <f ca="1">IFERROR(__xludf.DUMMYFUNCTION("""COMPUTED_VALUE"""),"HUANCAVELICA")</f>
        <v>HUANCAVELICA</v>
      </c>
      <c r="F840" s="25" t="str">
        <f ca="1">IFERROR(__xludf.DUMMYFUNCTION("""COMPUTED_VALUE"""),"ACOBAMBA")</f>
        <v>ACOBAMBA</v>
      </c>
      <c r="G840" s="25" t="str">
        <f ca="1">IFERROR(__xludf.DUMMYFUNCTION("""COMPUTED_VALUE"""),"MARCAS")</f>
        <v>MARCAS</v>
      </c>
      <c r="H840" s="25" t="str">
        <f ca="1">IFERROR(__xludf.DUMMYFUNCTION("""COMPUTED_VALUE"""),"RURAL")</f>
        <v>RURAL</v>
      </c>
      <c r="I840" s="25" t="str">
        <f ca="1">IFERROR(__xludf.DUMMYFUNCTION("""COMPUTED_VALUE"""),"Prioridad 3")</f>
        <v>Prioridad 3</v>
      </c>
      <c r="J840" s="43" t="s">
        <v>262</v>
      </c>
    </row>
    <row r="841" spans="2:10">
      <c r="B841" s="25" t="str">
        <f ca="1">IFERROR(__xludf.DUMMYFUNCTION("""COMPUTED_VALUE"""),"MUNICIPALIDAD DISTRITAL")</f>
        <v>MUNICIPALIDAD DISTRITAL</v>
      </c>
      <c r="C841" s="25" t="str">
        <f ca="1">IFERROR(__xludf.DUMMYFUNCTION("""COMPUTED_VALUE"""),"MUNICIPALIDAD DISTRITAL DE PAUCARA")</f>
        <v>MUNICIPALIDAD DISTRITAL DE PAUCARA</v>
      </c>
      <c r="D841" s="25" t="str">
        <f ca="1">IFERROR(__xludf.DUMMYFUNCTION("""COMPUTED_VALUE"""),"JUNÍN")</f>
        <v>JUNÍN</v>
      </c>
      <c r="E841" s="25" t="str">
        <f ca="1">IFERROR(__xludf.DUMMYFUNCTION("""COMPUTED_VALUE"""),"HUANCAVELICA")</f>
        <v>HUANCAVELICA</v>
      </c>
      <c r="F841" s="25" t="str">
        <f ca="1">IFERROR(__xludf.DUMMYFUNCTION("""COMPUTED_VALUE"""),"ACOBAMBA")</f>
        <v>ACOBAMBA</v>
      </c>
      <c r="G841" s="25" t="str">
        <f ca="1">IFERROR(__xludf.DUMMYFUNCTION("""COMPUTED_VALUE"""),"PAUCARA")</f>
        <v>PAUCARA</v>
      </c>
      <c r="H841" s="25" t="str">
        <f ca="1">IFERROR(__xludf.DUMMYFUNCTION("""COMPUTED_VALUE"""),"RURAL")</f>
        <v>RURAL</v>
      </c>
      <c r="I841" s="25" t="str">
        <f ca="1">IFERROR(__xludf.DUMMYFUNCTION("""COMPUTED_VALUE"""),"Prioridad 5")</f>
        <v>Prioridad 5</v>
      </c>
      <c r="J841" s="43" t="s">
        <v>262</v>
      </c>
    </row>
    <row r="842" spans="2:10">
      <c r="B842" s="25" t="str">
        <f ca="1">IFERROR(__xludf.DUMMYFUNCTION("""COMPUTED_VALUE"""),"MUNICIPALIDAD DISTRITAL")</f>
        <v>MUNICIPALIDAD DISTRITAL</v>
      </c>
      <c r="C842" s="25" t="str">
        <f ca="1">IFERROR(__xludf.DUMMYFUNCTION("""COMPUTED_VALUE"""),"MUNICIPALIDAD DISTRITAL DE POMACOCHA EN ACOBAMBA")</f>
        <v>MUNICIPALIDAD DISTRITAL DE POMACOCHA EN ACOBAMBA</v>
      </c>
      <c r="D842" s="25" t="str">
        <f ca="1">IFERROR(__xludf.DUMMYFUNCTION("""COMPUTED_VALUE"""),"JUNÍN")</f>
        <v>JUNÍN</v>
      </c>
      <c r="E842" s="25" t="str">
        <f ca="1">IFERROR(__xludf.DUMMYFUNCTION("""COMPUTED_VALUE"""),"HUANCAVELICA")</f>
        <v>HUANCAVELICA</v>
      </c>
      <c r="F842" s="25" t="str">
        <f ca="1">IFERROR(__xludf.DUMMYFUNCTION("""COMPUTED_VALUE"""),"ACOBAMBA")</f>
        <v>ACOBAMBA</v>
      </c>
      <c r="G842" s="25" t="str">
        <f ca="1">IFERROR(__xludf.DUMMYFUNCTION("""COMPUTED_VALUE"""),"POMACOCHA")</f>
        <v>POMACOCHA</v>
      </c>
      <c r="H842" s="25" t="str">
        <f ca="1">IFERROR(__xludf.DUMMYFUNCTION("""COMPUTED_VALUE"""),"RURAL")</f>
        <v>RURAL</v>
      </c>
      <c r="I842" s="25" t="str">
        <f ca="1">IFERROR(__xludf.DUMMYFUNCTION("""COMPUTED_VALUE"""),"Prioridad 4")</f>
        <v>Prioridad 4</v>
      </c>
      <c r="J842" s="43" t="s">
        <v>262</v>
      </c>
    </row>
    <row r="843" spans="2:10">
      <c r="B843" s="25" t="str">
        <f ca="1">IFERROR(__xludf.DUMMYFUNCTION("""COMPUTED_VALUE"""),"MUNICIPALIDAD DISTRITAL")</f>
        <v>MUNICIPALIDAD DISTRITAL</v>
      </c>
      <c r="C843" s="25" t="str">
        <f ca="1">IFERROR(__xludf.DUMMYFUNCTION("""COMPUTED_VALUE"""),"MUNICIPALIDAD DISTRITAL DE ROSARIO")</f>
        <v>MUNICIPALIDAD DISTRITAL DE ROSARIO</v>
      </c>
      <c r="D843" s="25" t="str">
        <f ca="1">IFERROR(__xludf.DUMMYFUNCTION("""COMPUTED_VALUE"""),"JUNÍN")</f>
        <v>JUNÍN</v>
      </c>
      <c r="E843" s="25" t="str">
        <f ca="1">IFERROR(__xludf.DUMMYFUNCTION("""COMPUTED_VALUE"""),"HUANCAVELICA")</f>
        <v>HUANCAVELICA</v>
      </c>
      <c r="F843" s="25" t="str">
        <f ca="1">IFERROR(__xludf.DUMMYFUNCTION("""COMPUTED_VALUE"""),"ACOBAMBA")</f>
        <v>ACOBAMBA</v>
      </c>
      <c r="G843" s="25" t="str">
        <f ca="1">IFERROR(__xludf.DUMMYFUNCTION("""COMPUTED_VALUE"""),"ROSARIO")</f>
        <v>ROSARIO</v>
      </c>
      <c r="H843" s="25" t="str">
        <f ca="1">IFERROR(__xludf.DUMMYFUNCTION("""COMPUTED_VALUE"""),"RURAL")</f>
        <v>RURAL</v>
      </c>
      <c r="I843" s="25" t="str">
        <f ca="1">IFERROR(__xludf.DUMMYFUNCTION("""COMPUTED_VALUE"""),"Prioridad 3")</f>
        <v>Prioridad 3</v>
      </c>
      <c r="J843" s="43" t="s">
        <v>262</v>
      </c>
    </row>
    <row r="844" spans="2:10">
      <c r="B844" s="25" t="str">
        <f ca="1">IFERROR(__xludf.DUMMYFUNCTION("""COMPUTED_VALUE"""),"MUNICIPALIDAD PROVINCIAL")</f>
        <v>MUNICIPALIDAD PROVINCIAL</v>
      </c>
      <c r="C844" s="25" t="str">
        <f ca="1">IFERROR(__xludf.DUMMYFUNCTION("""COMPUTED_VALUE"""),"MUNICIPALIDAD PROVINCIAL DE ANGARAES")</f>
        <v>MUNICIPALIDAD PROVINCIAL DE ANGARAES</v>
      </c>
      <c r="D844" s="25" t="str">
        <f ca="1">IFERROR(__xludf.DUMMYFUNCTION("""COMPUTED_VALUE"""),"JUNÍN")</f>
        <v>JUNÍN</v>
      </c>
      <c r="E844" s="25" t="str">
        <f ca="1">IFERROR(__xludf.DUMMYFUNCTION("""COMPUTED_VALUE"""),"HUANCAVELICA")</f>
        <v>HUANCAVELICA</v>
      </c>
      <c r="F844" s="25" t="str">
        <f ca="1">IFERROR(__xludf.DUMMYFUNCTION("""COMPUTED_VALUE"""),"ANGARAES")</f>
        <v>ANGARAES</v>
      </c>
      <c r="G844" s="25" t="str">
        <f ca="1">IFERROR(__xludf.DUMMYFUNCTION("""COMPUTED_VALUE"""),"LIRCAY")</f>
        <v>LIRCAY</v>
      </c>
      <c r="H844" s="25" t="str">
        <f ca="1">IFERROR(__xludf.DUMMYFUNCTION("""COMPUTED_VALUE"""),"RURAL")</f>
        <v>RURAL</v>
      </c>
      <c r="I844" s="25" t="str">
        <f ca="1">IFERROR(__xludf.DUMMYFUNCTION("""COMPUTED_VALUE"""),"Prioridad 1")</f>
        <v>Prioridad 1</v>
      </c>
      <c r="J844" s="43" t="s">
        <v>262</v>
      </c>
    </row>
    <row r="845" spans="2:10">
      <c r="B845" s="25" t="str">
        <f ca="1">IFERROR(__xludf.DUMMYFUNCTION("""COMPUTED_VALUE"""),"MUNICIPALIDAD DISTRITAL")</f>
        <v>MUNICIPALIDAD DISTRITAL</v>
      </c>
      <c r="C845" s="25" t="str">
        <f ca="1">IFERROR(__xludf.DUMMYFUNCTION("""COMPUTED_VALUE"""),"MUNICIPALIDAD DISTRITAL DE ANCHONGA")</f>
        <v>MUNICIPALIDAD DISTRITAL DE ANCHONGA</v>
      </c>
      <c r="D845" s="25" t="str">
        <f ca="1">IFERROR(__xludf.DUMMYFUNCTION("""COMPUTED_VALUE"""),"JUNÍN")</f>
        <v>JUNÍN</v>
      </c>
      <c r="E845" s="25" t="str">
        <f ca="1">IFERROR(__xludf.DUMMYFUNCTION("""COMPUTED_VALUE"""),"HUANCAVELICA")</f>
        <v>HUANCAVELICA</v>
      </c>
      <c r="F845" s="25" t="str">
        <f ca="1">IFERROR(__xludf.DUMMYFUNCTION("""COMPUTED_VALUE"""),"ANGARAES")</f>
        <v>ANGARAES</v>
      </c>
      <c r="G845" s="25" t="str">
        <f ca="1">IFERROR(__xludf.DUMMYFUNCTION("""COMPUTED_VALUE"""),"ANCHONGA")</f>
        <v>ANCHONGA</v>
      </c>
      <c r="H845" s="25" t="str">
        <f ca="1">IFERROR(__xludf.DUMMYFUNCTION("""COMPUTED_VALUE"""),"RURAL")</f>
        <v>RURAL</v>
      </c>
      <c r="I845" s="25" t="str">
        <f ca="1">IFERROR(__xludf.DUMMYFUNCTION("""COMPUTED_VALUE"""),"Prioridad 5")</f>
        <v>Prioridad 5</v>
      </c>
      <c r="J845" s="43" t="s">
        <v>262</v>
      </c>
    </row>
    <row r="846" spans="2:10">
      <c r="B846" s="25" t="str">
        <f ca="1">IFERROR(__xludf.DUMMYFUNCTION("""COMPUTED_VALUE"""),"MUNICIPALIDAD DISTRITAL")</f>
        <v>MUNICIPALIDAD DISTRITAL</v>
      </c>
      <c r="C846" s="25" t="str">
        <f ca="1">IFERROR(__xludf.DUMMYFUNCTION("""COMPUTED_VALUE"""),"MUNICIPALIDAD DISTRITAL DE CALLANMARCA")</f>
        <v>MUNICIPALIDAD DISTRITAL DE CALLANMARCA</v>
      </c>
      <c r="D846" s="25" t="str">
        <f ca="1">IFERROR(__xludf.DUMMYFUNCTION("""COMPUTED_VALUE"""),"JUNÍN")</f>
        <v>JUNÍN</v>
      </c>
      <c r="E846" s="25" t="str">
        <f ca="1">IFERROR(__xludf.DUMMYFUNCTION("""COMPUTED_VALUE"""),"HUANCAVELICA")</f>
        <v>HUANCAVELICA</v>
      </c>
      <c r="F846" s="25" t="str">
        <f ca="1">IFERROR(__xludf.DUMMYFUNCTION("""COMPUTED_VALUE"""),"ANGARAES")</f>
        <v>ANGARAES</v>
      </c>
      <c r="G846" s="25" t="str">
        <f ca="1">IFERROR(__xludf.DUMMYFUNCTION("""COMPUTED_VALUE"""),"CALLANMARCA")</f>
        <v>CALLANMARCA</v>
      </c>
      <c r="H846" s="25" t="str">
        <f ca="1">IFERROR(__xludf.DUMMYFUNCTION("""COMPUTED_VALUE"""),"RURAL")</f>
        <v>RURAL</v>
      </c>
      <c r="I846" s="25" t="str">
        <f ca="1">IFERROR(__xludf.DUMMYFUNCTION("""COMPUTED_VALUE"""),"Prioridad 4")</f>
        <v>Prioridad 4</v>
      </c>
      <c r="J846" s="43" t="s">
        <v>262</v>
      </c>
    </row>
    <row r="847" spans="2:10">
      <c r="B847" s="25" t="str">
        <f ca="1">IFERROR(__xludf.DUMMYFUNCTION("""COMPUTED_VALUE"""),"MUNICIPALIDAD DISTRITAL")</f>
        <v>MUNICIPALIDAD DISTRITAL</v>
      </c>
      <c r="C847" s="25" t="str">
        <f ca="1">IFERROR(__xludf.DUMMYFUNCTION("""COMPUTED_VALUE"""),"MUNICIPALIDAD DISTRITAL DE CCOCHACCASA")</f>
        <v>MUNICIPALIDAD DISTRITAL DE CCOCHACCASA</v>
      </c>
      <c r="D847" s="25" t="str">
        <f ca="1">IFERROR(__xludf.DUMMYFUNCTION("""COMPUTED_VALUE"""),"JUNÍN")</f>
        <v>JUNÍN</v>
      </c>
      <c r="E847" s="25" t="str">
        <f ca="1">IFERROR(__xludf.DUMMYFUNCTION("""COMPUTED_VALUE"""),"HUANCAVELICA")</f>
        <v>HUANCAVELICA</v>
      </c>
      <c r="F847" s="25" t="str">
        <f ca="1">IFERROR(__xludf.DUMMYFUNCTION("""COMPUTED_VALUE"""),"ANGARAES")</f>
        <v>ANGARAES</v>
      </c>
      <c r="G847" s="25" t="str">
        <f ca="1">IFERROR(__xludf.DUMMYFUNCTION("""COMPUTED_VALUE"""),"CCOCHACCASA")</f>
        <v>CCOCHACCASA</v>
      </c>
      <c r="H847" s="25" t="str">
        <f ca="1">IFERROR(__xludf.DUMMYFUNCTION("""COMPUTED_VALUE"""),"RURAL")</f>
        <v>RURAL</v>
      </c>
      <c r="I847" s="25" t="str">
        <f ca="1">IFERROR(__xludf.DUMMYFUNCTION("""COMPUTED_VALUE"""),"Prioridad 3")</f>
        <v>Prioridad 3</v>
      </c>
      <c r="J847" s="43" t="s">
        <v>262</v>
      </c>
    </row>
    <row r="848" spans="2:10">
      <c r="B848" s="25" t="str">
        <f ca="1">IFERROR(__xludf.DUMMYFUNCTION("""COMPUTED_VALUE"""),"MUNICIPALIDAD DISTRITAL")</f>
        <v>MUNICIPALIDAD DISTRITAL</v>
      </c>
      <c r="C848" s="25" t="str">
        <f ca="1">IFERROR(__xludf.DUMMYFUNCTION("""COMPUTED_VALUE"""),"MUNICIPALIDAD DISTRITAL DE CHINCHO")</f>
        <v>MUNICIPALIDAD DISTRITAL DE CHINCHO</v>
      </c>
      <c r="D848" s="25" t="str">
        <f ca="1">IFERROR(__xludf.DUMMYFUNCTION("""COMPUTED_VALUE"""),"JUNÍN")</f>
        <v>JUNÍN</v>
      </c>
      <c r="E848" s="25" t="str">
        <f ca="1">IFERROR(__xludf.DUMMYFUNCTION("""COMPUTED_VALUE"""),"HUANCAVELICA")</f>
        <v>HUANCAVELICA</v>
      </c>
      <c r="F848" s="25" t="str">
        <f ca="1">IFERROR(__xludf.DUMMYFUNCTION("""COMPUTED_VALUE"""),"ANGARAES")</f>
        <v>ANGARAES</v>
      </c>
      <c r="G848" s="25" t="str">
        <f ca="1">IFERROR(__xludf.DUMMYFUNCTION("""COMPUTED_VALUE"""),"CHINCHO")</f>
        <v>CHINCHO</v>
      </c>
      <c r="H848" s="25" t="str">
        <f ca="1">IFERROR(__xludf.DUMMYFUNCTION("""COMPUTED_VALUE"""),"RURAL")</f>
        <v>RURAL</v>
      </c>
      <c r="I848" s="25" t="str">
        <f ca="1">IFERROR(__xludf.DUMMYFUNCTION("""COMPUTED_VALUE"""),"Prioridad 5")</f>
        <v>Prioridad 5</v>
      </c>
      <c r="J848" s="43" t="s">
        <v>262</v>
      </c>
    </row>
    <row r="849" spans="2:10">
      <c r="B849" s="25" t="str">
        <f ca="1">IFERROR(__xludf.DUMMYFUNCTION("""COMPUTED_VALUE"""),"MUNICIPALIDAD DISTRITAL")</f>
        <v>MUNICIPALIDAD DISTRITAL</v>
      </c>
      <c r="C849" s="25" t="str">
        <f ca="1">IFERROR(__xludf.DUMMYFUNCTION("""COMPUTED_VALUE"""),"MUNICIPALIDAD DISTRITAL DE CONGALLA")</f>
        <v>MUNICIPALIDAD DISTRITAL DE CONGALLA</v>
      </c>
      <c r="D849" s="25" t="str">
        <f ca="1">IFERROR(__xludf.DUMMYFUNCTION("""COMPUTED_VALUE"""),"JUNÍN")</f>
        <v>JUNÍN</v>
      </c>
      <c r="E849" s="25" t="str">
        <f ca="1">IFERROR(__xludf.DUMMYFUNCTION("""COMPUTED_VALUE"""),"HUANCAVELICA")</f>
        <v>HUANCAVELICA</v>
      </c>
      <c r="F849" s="25" t="str">
        <f ca="1">IFERROR(__xludf.DUMMYFUNCTION("""COMPUTED_VALUE"""),"ANGARAES")</f>
        <v>ANGARAES</v>
      </c>
      <c r="G849" s="25" t="str">
        <f ca="1">IFERROR(__xludf.DUMMYFUNCTION("""COMPUTED_VALUE"""),"CONGALLA")</f>
        <v>CONGALLA</v>
      </c>
      <c r="H849" s="25" t="str">
        <f ca="1">IFERROR(__xludf.DUMMYFUNCTION("""COMPUTED_VALUE"""),"RURAL")</f>
        <v>RURAL</v>
      </c>
      <c r="I849" s="25" t="str">
        <f ca="1">IFERROR(__xludf.DUMMYFUNCTION("""COMPUTED_VALUE"""),"Prioridad 5")</f>
        <v>Prioridad 5</v>
      </c>
      <c r="J849" s="43" t="s">
        <v>262</v>
      </c>
    </row>
    <row r="850" spans="2:10">
      <c r="B850" s="25" t="str">
        <f ca="1">IFERROR(__xludf.DUMMYFUNCTION("""COMPUTED_VALUE"""),"MUNICIPALIDAD DISTRITAL")</f>
        <v>MUNICIPALIDAD DISTRITAL</v>
      </c>
      <c r="C850" s="25" t="str">
        <f ca="1">IFERROR(__xludf.DUMMYFUNCTION("""COMPUTED_VALUE"""),"MUNICIPALIDAD DISTRITAL DE HUANCA-HUANCA")</f>
        <v>MUNICIPALIDAD DISTRITAL DE HUANCA-HUANCA</v>
      </c>
      <c r="D850" s="25" t="str">
        <f ca="1">IFERROR(__xludf.DUMMYFUNCTION("""COMPUTED_VALUE"""),"JUNÍN")</f>
        <v>JUNÍN</v>
      </c>
      <c r="E850" s="25" t="str">
        <f ca="1">IFERROR(__xludf.DUMMYFUNCTION("""COMPUTED_VALUE"""),"HUANCAVELICA")</f>
        <v>HUANCAVELICA</v>
      </c>
      <c r="F850" s="25" t="str">
        <f ca="1">IFERROR(__xludf.DUMMYFUNCTION("""COMPUTED_VALUE"""),"ANGARAES")</f>
        <v>ANGARAES</v>
      </c>
      <c r="G850" s="25" t="str">
        <f ca="1">IFERROR(__xludf.DUMMYFUNCTION("""COMPUTED_VALUE"""),"HUANCA-HUANCA")</f>
        <v>HUANCA-HUANCA</v>
      </c>
      <c r="H850" s="25" t="str">
        <f ca="1">IFERROR(__xludf.DUMMYFUNCTION("""COMPUTED_VALUE"""),"RURAL")</f>
        <v>RURAL</v>
      </c>
      <c r="I850" s="25" t="str">
        <f ca="1">IFERROR(__xludf.DUMMYFUNCTION("""COMPUTED_VALUE"""),"Prioridad 4")</f>
        <v>Prioridad 4</v>
      </c>
      <c r="J850" s="43" t="s">
        <v>262</v>
      </c>
    </row>
    <row r="851" spans="2:10">
      <c r="B851" s="25" t="str">
        <f ca="1">IFERROR(__xludf.DUMMYFUNCTION("""COMPUTED_VALUE"""),"MUNICIPALIDAD DISTRITAL")</f>
        <v>MUNICIPALIDAD DISTRITAL</v>
      </c>
      <c r="C851" s="25" t="str">
        <f ca="1">IFERROR(__xludf.DUMMYFUNCTION("""COMPUTED_VALUE"""),"MUNICIPALIDAD DISTRITAL DE HUAYLLAY GRANDE")</f>
        <v>MUNICIPALIDAD DISTRITAL DE HUAYLLAY GRANDE</v>
      </c>
      <c r="D851" s="25" t="str">
        <f ca="1">IFERROR(__xludf.DUMMYFUNCTION("""COMPUTED_VALUE"""),"JUNÍN")</f>
        <v>JUNÍN</v>
      </c>
      <c r="E851" s="25" t="str">
        <f ca="1">IFERROR(__xludf.DUMMYFUNCTION("""COMPUTED_VALUE"""),"HUANCAVELICA")</f>
        <v>HUANCAVELICA</v>
      </c>
      <c r="F851" s="25" t="str">
        <f ca="1">IFERROR(__xludf.DUMMYFUNCTION("""COMPUTED_VALUE"""),"ANGARAES")</f>
        <v>ANGARAES</v>
      </c>
      <c r="G851" s="25" t="str">
        <f ca="1">IFERROR(__xludf.DUMMYFUNCTION("""COMPUTED_VALUE"""),"HUAYLLAY GRANDE")</f>
        <v>HUAYLLAY GRANDE</v>
      </c>
      <c r="H851" s="25" t="str">
        <f ca="1">IFERROR(__xludf.DUMMYFUNCTION("""COMPUTED_VALUE"""),"RURAL")</f>
        <v>RURAL</v>
      </c>
      <c r="I851" s="25" t="str">
        <f ca="1">IFERROR(__xludf.DUMMYFUNCTION("""COMPUTED_VALUE"""),"Prioridad 4")</f>
        <v>Prioridad 4</v>
      </c>
      <c r="J851" s="43" t="s">
        <v>262</v>
      </c>
    </row>
    <row r="852" spans="2:10">
      <c r="B852" s="25" t="str">
        <f ca="1">IFERROR(__xludf.DUMMYFUNCTION("""COMPUTED_VALUE"""),"MUNICIPALIDAD DISTRITAL")</f>
        <v>MUNICIPALIDAD DISTRITAL</v>
      </c>
      <c r="C852" s="25" t="str">
        <f ca="1">IFERROR(__xludf.DUMMYFUNCTION("""COMPUTED_VALUE"""),"MUNICIPALIDAD DISTRITAL DE JULCAMARCA")</f>
        <v>MUNICIPALIDAD DISTRITAL DE JULCAMARCA</v>
      </c>
      <c r="D852" s="25" t="str">
        <f ca="1">IFERROR(__xludf.DUMMYFUNCTION("""COMPUTED_VALUE"""),"JUNÍN")</f>
        <v>JUNÍN</v>
      </c>
      <c r="E852" s="25" t="str">
        <f ca="1">IFERROR(__xludf.DUMMYFUNCTION("""COMPUTED_VALUE"""),"HUANCAVELICA")</f>
        <v>HUANCAVELICA</v>
      </c>
      <c r="F852" s="25" t="str">
        <f ca="1">IFERROR(__xludf.DUMMYFUNCTION("""COMPUTED_VALUE"""),"ANGARAES")</f>
        <v>ANGARAES</v>
      </c>
      <c r="G852" s="25" t="str">
        <f ca="1">IFERROR(__xludf.DUMMYFUNCTION("""COMPUTED_VALUE"""),"JULCAMARCA")</f>
        <v>JULCAMARCA</v>
      </c>
      <c r="H852" s="25" t="str">
        <f ca="1">IFERROR(__xludf.DUMMYFUNCTION("""COMPUTED_VALUE"""),"RURAL")</f>
        <v>RURAL</v>
      </c>
      <c r="I852" s="25" t="str">
        <f ca="1">IFERROR(__xludf.DUMMYFUNCTION("""COMPUTED_VALUE"""),"Prioridad 5")</f>
        <v>Prioridad 5</v>
      </c>
      <c r="J852" s="43" t="s">
        <v>262</v>
      </c>
    </row>
    <row r="853" spans="2:10">
      <c r="B853" s="25" t="str">
        <f ca="1">IFERROR(__xludf.DUMMYFUNCTION("""COMPUTED_VALUE"""),"MUNICIPALIDAD DISTRITAL")</f>
        <v>MUNICIPALIDAD DISTRITAL</v>
      </c>
      <c r="C853" s="25" t="str">
        <f ca="1">IFERROR(__xludf.DUMMYFUNCTION("""COMPUTED_VALUE"""),"MUNICIPALIDAD DISTRITAL DE SAN ANTONIO DE ANTAPARCO")</f>
        <v>MUNICIPALIDAD DISTRITAL DE SAN ANTONIO DE ANTAPARCO</v>
      </c>
      <c r="D853" s="25" t="str">
        <f ca="1">IFERROR(__xludf.DUMMYFUNCTION("""COMPUTED_VALUE"""),"JUNÍN")</f>
        <v>JUNÍN</v>
      </c>
      <c r="E853" s="25" t="str">
        <f ca="1">IFERROR(__xludf.DUMMYFUNCTION("""COMPUTED_VALUE"""),"HUANCAVELICA")</f>
        <v>HUANCAVELICA</v>
      </c>
      <c r="F853" s="25" t="str">
        <f ca="1">IFERROR(__xludf.DUMMYFUNCTION("""COMPUTED_VALUE"""),"ANGARAES")</f>
        <v>ANGARAES</v>
      </c>
      <c r="G853" s="25" t="str">
        <f ca="1">IFERROR(__xludf.DUMMYFUNCTION("""COMPUTED_VALUE"""),"SAN ANTONIO DE ANTAPARCO")</f>
        <v>SAN ANTONIO DE ANTAPARCO</v>
      </c>
      <c r="H853" s="25" t="str">
        <f ca="1">IFERROR(__xludf.DUMMYFUNCTION("""COMPUTED_VALUE"""),"RURAL")</f>
        <v>RURAL</v>
      </c>
      <c r="I853" s="25" t="str">
        <f ca="1">IFERROR(__xludf.DUMMYFUNCTION("""COMPUTED_VALUE"""),"Prioridad 5")</f>
        <v>Prioridad 5</v>
      </c>
      <c r="J853" s="43" t="s">
        <v>262</v>
      </c>
    </row>
    <row r="854" spans="2:10">
      <c r="B854" s="25" t="str">
        <f ca="1">IFERROR(__xludf.DUMMYFUNCTION("""COMPUTED_VALUE"""),"MUNICIPALIDAD DISTRITAL")</f>
        <v>MUNICIPALIDAD DISTRITAL</v>
      </c>
      <c r="C854" s="25" t="str">
        <f ca="1">IFERROR(__xludf.DUMMYFUNCTION("""COMPUTED_VALUE"""),"MUNICIPALIDAD DISTRITAL DE SANTO TOMAS DE PATA")</f>
        <v>MUNICIPALIDAD DISTRITAL DE SANTO TOMAS DE PATA</v>
      </c>
      <c r="D854" s="25" t="str">
        <f ca="1">IFERROR(__xludf.DUMMYFUNCTION("""COMPUTED_VALUE"""),"JUNÍN")</f>
        <v>JUNÍN</v>
      </c>
      <c r="E854" s="25" t="str">
        <f ca="1">IFERROR(__xludf.DUMMYFUNCTION("""COMPUTED_VALUE"""),"HUANCAVELICA")</f>
        <v>HUANCAVELICA</v>
      </c>
      <c r="F854" s="25" t="str">
        <f ca="1">IFERROR(__xludf.DUMMYFUNCTION("""COMPUTED_VALUE"""),"ANGARAES")</f>
        <v>ANGARAES</v>
      </c>
      <c r="G854" s="25" t="str">
        <f ca="1">IFERROR(__xludf.DUMMYFUNCTION("""COMPUTED_VALUE"""),"SANTO TOMAS DE PATA")</f>
        <v>SANTO TOMAS DE PATA</v>
      </c>
      <c r="H854" s="25" t="str">
        <f ca="1">IFERROR(__xludf.DUMMYFUNCTION("""COMPUTED_VALUE"""),"RURAL")</f>
        <v>RURAL</v>
      </c>
      <c r="I854" s="25" t="str">
        <f ca="1">IFERROR(__xludf.DUMMYFUNCTION("""COMPUTED_VALUE"""),"Prioridad 5")</f>
        <v>Prioridad 5</v>
      </c>
      <c r="J854" s="43" t="s">
        <v>262</v>
      </c>
    </row>
    <row r="855" spans="2:10">
      <c r="B855" s="25" t="str">
        <f ca="1">IFERROR(__xludf.DUMMYFUNCTION("""COMPUTED_VALUE"""),"MUNICIPALIDAD DISTRITAL")</f>
        <v>MUNICIPALIDAD DISTRITAL</v>
      </c>
      <c r="C855" s="25" t="str">
        <f ca="1">IFERROR(__xludf.DUMMYFUNCTION("""COMPUTED_VALUE"""),"MUNICIPALIDAD DISTRITAL DE SECCLLA")</f>
        <v>MUNICIPALIDAD DISTRITAL DE SECCLLA</v>
      </c>
      <c r="D855" s="25" t="str">
        <f ca="1">IFERROR(__xludf.DUMMYFUNCTION("""COMPUTED_VALUE"""),"JUNÍN")</f>
        <v>JUNÍN</v>
      </c>
      <c r="E855" s="25" t="str">
        <f ca="1">IFERROR(__xludf.DUMMYFUNCTION("""COMPUTED_VALUE"""),"HUANCAVELICA")</f>
        <v>HUANCAVELICA</v>
      </c>
      <c r="F855" s="25" t="str">
        <f ca="1">IFERROR(__xludf.DUMMYFUNCTION("""COMPUTED_VALUE"""),"ANGARAES")</f>
        <v>ANGARAES</v>
      </c>
      <c r="G855" s="25" t="str">
        <f ca="1">IFERROR(__xludf.DUMMYFUNCTION("""COMPUTED_VALUE"""),"SECCLLA")</f>
        <v>SECCLLA</v>
      </c>
      <c r="H855" s="25" t="str">
        <f ca="1">IFERROR(__xludf.DUMMYFUNCTION("""COMPUTED_VALUE"""),"RURAL")</f>
        <v>RURAL</v>
      </c>
      <c r="I855" s="25" t="str">
        <f ca="1">IFERROR(__xludf.DUMMYFUNCTION("""COMPUTED_VALUE"""),"Prioridad 4")</f>
        <v>Prioridad 4</v>
      </c>
      <c r="J855" s="43" t="s">
        <v>262</v>
      </c>
    </row>
    <row r="856" spans="2:10">
      <c r="B856" s="25" t="str">
        <f ca="1">IFERROR(__xludf.DUMMYFUNCTION("""COMPUTED_VALUE"""),"MUNICIPALIDAD PROVINCIAL")</f>
        <v>MUNICIPALIDAD PROVINCIAL</v>
      </c>
      <c r="C856" s="25" t="str">
        <f ca="1">IFERROR(__xludf.DUMMYFUNCTION("""COMPUTED_VALUE"""),"MUNICIPALIDAD PROVINCIAL DE CASTROVIRREYNA")</f>
        <v>MUNICIPALIDAD PROVINCIAL DE CASTROVIRREYNA</v>
      </c>
      <c r="D856" s="25" t="str">
        <f ca="1">IFERROR(__xludf.DUMMYFUNCTION("""COMPUTED_VALUE"""),"ICA")</f>
        <v>ICA</v>
      </c>
      <c r="E856" s="25" t="str">
        <f ca="1">IFERROR(__xludf.DUMMYFUNCTION("""COMPUTED_VALUE"""),"HUANCAVELICA")</f>
        <v>HUANCAVELICA</v>
      </c>
      <c r="F856" s="25" t="str">
        <f ca="1">IFERROR(__xludf.DUMMYFUNCTION("""COMPUTED_VALUE"""),"CASTROVIRREYNA")</f>
        <v>CASTROVIRREYNA</v>
      </c>
      <c r="G856" s="25" t="str">
        <f ca="1">IFERROR(__xludf.DUMMYFUNCTION("""COMPUTED_VALUE"""),"CASTROVIRREYNA")</f>
        <v>CASTROVIRREYNA</v>
      </c>
      <c r="H856" s="25" t="str">
        <f ca="1">IFERROR(__xludf.DUMMYFUNCTION("""COMPUTED_VALUE"""),"RURAL")</f>
        <v>RURAL</v>
      </c>
      <c r="I856" s="25" t="str">
        <f ca="1">IFERROR(__xludf.DUMMYFUNCTION("""COMPUTED_VALUE"""),"Prioridad 2")</f>
        <v>Prioridad 2</v>
      </c>
      <c r="J856" s="43" t="s">
        <v>262</v>
      </c>
    </row>
    <row r="857" spans="2:10">
      <c r="B857" s="25" t="str">
        <f ca="1">IFERROR(__xludf.DUMMYFUNCTION("""COMPUTED_VALUE"""),"MUNICIPALIDAD DISTRITAL")</f>
        <v>MUNICIPALIDAD DISTRITAL</v>
      </c>
      <c r="C857" s="25" t="str">
        <f ca="1">IFERROR(__xludf.DUMMYFUNCTION("""COMPUTED_VALUE"""),"MUNICIPALIDAD DISTRITAL DE ARMA")</f>
        <v>MUNICIPALIDAD DISTRITAL DE ARMA</v>
      </c>
      <c r="D857" s="25" t="str">
        <f ca="1">IFERROR(__xludf.DUMMYFUNCTION("""COMPUTED_VALUE"""),"ICA")</f>
        <v>ICA</v>
      </c>
      <c r="E857" s="25" t="str">
        <f ca="1">IFERROR(__xludf.DUMMYFUNCTION("""COMPUTED_VALUE"""),"HUANCAVELICA")</f>
        <v>HUANCAVELICA</v>
      </c>
      <c r="F857" s="25" t="str">
        <f ca="1">IFERROR(__xludf.DUMMYFUNCTION("""COMPUTED_VALUE"""),"CASTROVIRREYNA")</f>
        <v>CASTROVIRREYNA</v>
      </c>
      <c r="G857" s="25" t="str">
        <f ca="1">IFERROR(__xludf.DUMMYFUNCTION("""COMPUTED_VALUE"""),"ARMA")</f>
        <v>ARMA</v>
      </c>
      <c r="H857" s="25" t="str">
        <f ca="1">IFERROR(__xludf.DUMMYFUNCTION("""COMPUTED_VALUE"""),"RURAL")</f>
        <v>RURAL</v>
      </c>
      <c r="I857" s="25" t="str">
        <f ca="1">IFERROR(__xludf.DUMMYFUNCTION("""COMPUTED_VALUE"""),"Prioridad 5")</f>
        <v>Prioridad 5</v>
      </c>
      <c r="J857" s="43" t="s">
        <v>262</v>
      </c>
    </row>
    <row r="858" spans="2:10">
      <c r="B858" s="25" t="str">
        <f ca="1">IFERROR(__xludf.DUMMYFUNCTION("""COMPUTED_VALUE"""),"MUNICIPALIDAD DISTRITAL")</f>
        <v>MUNICIPALIDAD DISTRITAL</v>
      </c>
      <c r="C858" s="25" t="str">
        <f ca="1">IFERROR(__xludf.DUMMYFUNCTION("""COMPUTED_VALUE"""),"MUNICIPALIDAD DISTRITAL DE AURAHUA")</f>
        <v>MUNICIPALIDAD DISTRITAL DE AURAHUA</v>
      </c>
      <c r="D858" s="25" t="str">
        <f ca="1">IFERROR(__xludf.DUMMYFUNCTION("""COMPUTED_VALUE"""),"ICA")</f>
        <v>ICA</v>
      </c>
      <c r="E858" s="25" t="str">
        <f ca="1">IFERROR(__xludf.DUMMYFUNCTION("""COMPUTED_VALUE"""),"HUANCAVELICA")</f>
        <v>HUANCAVELICA</v>
      </c>
      <c r="F858" s="25" t="str">
        <f ca="1">IFERROR(__xludf.DUMMYFUNCTION("""COMPUTED_VALUE"""),"CASTROVIRREYNA")</f>
        <v>CASTROVIRREYNA</v>
      </c>
      <c r="G858" s="25" t="str">
        <f ca="1">IFERROR(__xludf.DUMMYFUNCTION("""COMPUTED_VALUE"""),"AURAHUA")</f>
        <v>AURAHUA</v>
      </c>
      <c r="H858" s="25" t="str">
        <f ca="1">IFERROR(__xludf.DUMMYFUNCTION("""COMPUTED_VALUE"""),"RURAL")</f>
        <v>RURAL</v>
      </c>
      <c r="I858" s="25" t="str">
        <f ca="1">IFERROR(__xludf.DUMMYFUNCTION("""COMPUTED_VALUE"""),"Prioridad 4")</f>
        <v>Prioridad 4</v>
      </c>
      <c r="J858" s="43" t="s">
        <v>262</v>
      </c>
    </row>
    <row r="859" spans="2:10">
      <c r="B859" s="25" t="str">
        <f ca="1">IFERROR(__xludf.DUMMYFUNCTION("""COMPUTED_VALUE"""),"MUNICIPALIDAD DISTRITAL")</f>
        <v>MUNICIPALIDAD DISTRITAL</v>
      </c>
      <c r="C859" s="25" t="str">
        <f ca="1">IFERROR(__xludf.DUMMYFUNCTION("""COMPUTED_VALUE"""),"MUNICIPALIDAD DISTRITAL DE CAPILLAS")</f>
        <v>MUNICIPALIDAD DISTRITAL DE CAPILLAS</v>
      </c>
      <c r="D859" s="25" t="str">
        <f ca="1">IFERROR(__xludf.DUMMYFUNCTION("""COMPUTED_VALUE"""),"ICA")</f>
        <v>ICA</v>
      </c>
      <c r="E859" s="25" t="str">
        <f ca="1">IFERROR(__xludf.DUMMYFUNCTION("""COMPUTED_VALUE"""),"HUANCAVELICA")</f>
        <v>HUANCAVELICA</v>
      </c>
      <c r="F859" s="25" t="str">
        <f ca="1">IFERROR(__xludf.DUMMYFUNCTION("""COMPUTED_VALUE"""),"CASTROVIRREYNA")</f>
        <v>CASTROVIRREYNA</v>
      </c>
      <c r="G859" s="25" t="str">
        <f ca="1">IFERROR(__xludf.DUMMYFUNCTION("""COMPUTED_VALUE"""),"CAPILLAS")</f>
        <v>CAPILLAS</v>
      </c>
      <c r="H859" s="25" t="str">
        <f ca="1">IFERROR(__xludf.DUMMYFUNCTION("""COMPUTED_VALUE"""),"RURAL")</f>
        <v>RURAL</v>
      </c>
      <c r="I859" s="25" t="str">
        <f ca="1">IFERROR(__xludf.DUMMYFUNCTION("""COMPUTED_VALUE"""),"Prioridad 5")</f>
        <v>Prioridad 5</v>
      </c>
      <c r="J859" s="43" t="s">
        <v>262</v>
      </c>
    </row>
    <row r="860" spans="2:10">
      <c r="B860" s="25" t="str">
        <f ca="1">IFERROR(__xludf.DUMMYFUNCTION("""COMPUTED_VALUE"""),"MUNICIPALIDAD DISTRITAL")</f>
        <v>MUNICIPALIDAD DISTRITAL</v>
      </c>
      <c r="C860" s="25" t="str">
        <f ca="1">IFERROR(__xludf.DUMMYFUNCTION("""COMPUTED_VALUE"""),"MUNICIPALIDAD DISTRITAL DE CHUPAMARCA")</f>
        <v>MUNICIPALIDAD DISTRITAL DE CHUPAMARCA</v>
      </c>
      <c r="D860" s="25" t="str">
        <f ca="1">IFERROR(__xludf.DUMMYFUNCTION("""COMPUTED_VALUE"""),"ICA")</f>
        <v>ICA</v>
      </c>
      <c r="E860" s="25" t="str">
        <f ca="1">IFERROR(__xludf.DUMMYFUNCTION("""COMPUTED_VALUE"""),"HUANCAVELICA")</f>
        <v>HUANCAVELICA</v>
      </c>
      <c r="F860" s="25" t="str">
        <f ca="1">IFERROR(__xludf.DUMMYFUNCTION("""COMPUTED_VALUE"""),"CASTROVIRREYNA")</f>
        <v>CASTROVIRREYNA</v>
      </c>
      <c r="G860" s="25" t="str">
        <f ca="1">IFERROR(__xludf.DUMMYFUNCTION("""COMPUTED_VALUE"""),"CHUPAMARCA")</f>
        <v>CHUPAMARCA</v>
      </c>
      <c r="H860" s="25" t="str">
        <f ca="1">IFERROR(__xludf.DUMMYFUNCTION("""COMPUTED_VALUE"""),"RURAL")</f>
        <v>RURAL</v>
      </c>
      <c r="I860" s="25" t="str">
        <f ca="1">IFERROR(__xludf.DUMMYFUNCTION("""COMPUTED_VALUE"""),"Prioridad 5")</f>
        <v>Prioridad 5</v>
      </c>
      <c r="J860" s="43" t="s">
        <v>262</v>
      </c>
    </row>
    <row r="861" spans="2:10">
      <c r="B861" s="25" t="str">
        <f ca="1">IFERROR(__xludf.DUMMYFUNCTION("""COMPUTED_VALUE"""),"MUNICIPALIDAD DISTRITAL")</f>
        <v>MUNICIPALIDAD DISTRITAL</v>
      </c>
      <c r="C861" s="25" t="str">
        <f ca="1">IFERROR(__xludf.DUMMYFUNCTION("""COMPUTED_VALUE"""),"MUNICIPALIDAD DISTRITAL DE COCAS")</f>
        <v>MUNICIPALIDAD DISTRITAL DE COCAS</v>
      </c>
      <c r="D861" s="25" t="str">
        <f ca="1">IFERROR(__xludf.DUMMYFUNCTION("""COMPUTED_VALUE"""),"ICA")</f>
        <v>ICA</v>
      </c>
      <c r="E861" s="25" t="str">
        <f ca="1">IFERROR(__xludf.DUMMYFUNCTION("""COMPUTED_VALUE"""),"HUANCAVELICA")</f>
        <v>HUANCAVELICA</v>
      </c>
      <c r="F861" s="25" t="str">
        <f ca="1">IFERROR(__xludf.DUMMYFUNCTION("""COMPUTED_VALUE"""),"CASTROVIRREYNA")</f>
        <v>CASTROVIRREYNA</v>
      </c>
      <c r="G861" s="25" t="str">
        <f ca="1">IFERROR(__xludf.DUMMYFUNCTION("""COMPUTED_VALUE"""),"COCAS")</f>
        <v>COCAS</v>
      </c>
      <c r="H861" s="25" t="str">
        <f ca="1">IFERROR(__xludf.DUMMYFUNCTION("""COMPUTED_VALUE"""),"RURAL")</f>
        <v>RURAL</v>
      </c>
      <c r="I861" s="25" t="str">
        <f ca="1">IFERROR(__xludf.DUMMYFUNCTION("""COMPUTED_VALUE"""),"Prioridad 5")</f>
        <v>Prioridad 5</v>
      </c>
      <c r="J861" s="43" t="s">
        <v>262</v>
      </c>
    </row>
    <row r="862" spans="2:10">
      <c r="B862" s="25" t="str">
        <f ca="1">IFERROR(__xludf.DUMMYFUNCTION("""COMPUTED_VALUE"""),"MUNICIPALIDAD DISTRITAL")</f>
        <v>MUNICIPALIDAD DISTRITAL</v>
      </c>
      <c r="C862" s="25" t="str">
        <f ca="1">IFERROR(__xludf.DUMMYFUNCTION("""COMPUTED_VALUE"""),"MUNICIPALIDAD DISTRITAL DE HUACHOS")</f>
        <v>MUNICIPALIDAD DISTRITAL DE HUACHOS</v>
      </c>
      <c r="D862" s="25" t="str">
        <f ca="1">IFERROR(__xludf.DUMMYFUNCTION("""COMPUTED_VALUE"""),"ICA")</f>
        <v>ICA</v>
      </c>
      <c r="E862" s="25" t="str">
        <f ca="1">IFERROR(__xludf.DUMMYFUNCTION("""COMPUTED_VALUE"""),"HUANCAVELICA")</f>
        <v>HUANCAVELICA</v>
      </c>
      <c r="F862" s="25" t="str">
        <f ca="1">IFERROR(__xludf.DUMMYFUNCTION("""COMPUTED_VALUE"""),"CASTROVIRREYNA")</f>
        <v>CASTROVIRREYNA</v>
      </c>
      <c r="G862" s="25" t="str">
        <f ca="1">IFERROR(__xludf.DUMMYFUNCTION("""COMPUTED_VALUE"""),"HUACHOS")</f>
        <v>HUACHOS</v>
      </c>
      <c r="H862" s="25" t="str">
        <f ca="1">IFERROR(__xludf.DUMMYFUNCTION("""COMPUTED_VALUE"""),"RURAL")</f>
        <v>RURAL</v>
      </c>
      <c r="I862" s="25" t="str">
        <f ca="1">IFERROR(__xludf.DUMMYFUNCTION("""COMPUTED_VALUE"""),"Prioridad 5")</f>
        <v>Prioridad 5</v>
      </c>
      <c r="J862" s="43" t="s">
        <v>262</v>
      </c>
    </row>
    <row r="863" spans="2:10">
      <c r="B863" s="25" t="str">
        <f ca="1">IFERROR(__xludf.DUMMYFUNCTION("""COMPUTED_VALUE"""),"MUNICIPALIDAD DISTRITAL")</f>
        <v>MUNICIPALIDAD DISTRITAL</v>
      </c>
      <c r="C863" s="25" t="str">
        <f ca="1">IFERROR(__xludf.DUMMYFUNCTION("""COMPUTED_VALUE"""),"MUNICIPALIDAD DISTRITAL DE HUAMATAMBO")</f>
        <v>MUNICIPALIDAD DISTRITAL DE HUAMATAMBO</v>
      </c>
      <c r="D863" s="25" t="str">
        <f ca="1">IFERROR(__xludf.DUMMYFUNCTION("""COMPUTED_VALUE"""),"ICA")</f>
        <v>ICA</v>
      </c>
      <c r="E863" s="25" t="str">
        <f ca="1">IFERROR(__xludf.DUMMYFUNCTION("""COMPUTED_VALUE"""),"HUANCAVELICA")</f>
        <v>HUANCAVELICA</v>
      </c>
      <c r="F863" s="25" t="str">
        <f ca="1">IFERROR(__xludf.DUMMYFUNCTION("""COMPUTED_VALUE"""),"CASTROVIRREYNA")</f>
        <v>CASTROVIRREYNA</v>
      </c>
      <c r="G863" s="25" t="str">
        <f ca="1">IFERROR(__xludf.DUMMYFUNCTION("""COMPUTED_VALUE"""),"HUAMATAMBO")</f>
        <v>HUAMATAMBO</v>
      </c>
      <c r="H863" s="25" t="str">
        <f ca="1">IFERROR(__xludf.DUMMYFUNCTION("""COMPUTED_VALUE"""),"RURAL")</f>
        <v>RURAL</v>
      </c>
      <c r="I863" s="25" t="str">
        <f ca="1">IFERROR(__xludf.DUMMYFUNCTION("""COMPUTED_VALUE"""),"Prioridad 5")</f>
        <v>Prioridad 5</v>
      </c>
      <c r="J863" s="43" t="s">
        <v>262</v>
      </c>
    </row>
    <row r="864" spans="2:10">
      <c r="B864" s="25" t="str">
        <f ca="1">IFERROR(__xludf.DUMMYFUNCTION("""COMPUTED_VALUE"""),"MUNICIPALIDAD DISTRITAL")</f>
        <v>MUNICIPALIDAD DISTRITAL</v>
      </c>
      <c r="C864" s="25" t="str">
        <f ca="1">IFERROR(__xludf.DUMMYFUNCTION("""COMPUTED_VALUE"""),"MUNICIPALIDAD DISTRITAL DE MOLLEPAMPA")</f>
        <v>MUNICIPALIDAD DISTRITAL DE MOLLEPAMPA</v>
      </c>
      <c r="D864" s="25" t="str">
        <f ca="1">IFERROR(__xludf.DUMMYFUNCTION("""COMPUTED_VALUE"""),"ICA")</f>
        <v>ICA</v>
      </c>
      <c r="E864" s="25" t="str">
        <f ca="1">IFERROR(__xludf.DUMMYFUNCTION("""COMPUTED_VALUE"""),"HUANCAVELICA")</f>
        <v>HUANCAVELICA</v>
      </c>
      <c r="F864" s="25" t="str">
        <f ca="1">IFERROR(__xludf.DUMMYFUNCTION("""COMPUTED_VALUE"""),"CASTROVIRREYNA")</f>
        <v>CASTROVIRREYNA</v>
      </c>
      <c r="G864" s="25" t="str">
        <f ca="1">IFERROR(__xludf.DUMMYFUNCTION("""COMPUTED_VALUE"""),"MOLLEPAMPA")</f>
        <v>MOLLEPAMPA</v>
      </c>
      <c r="H864" s="25" t="str">
        <f ca="1">IFERROR(__xludf.DUMMYFUNCTION("""COMPUTED_VALUE"""),"RURAL")</f>
        <v>RURAL</v>
      </c>
      <c r="I864" s="25" t="str">
        <f ca="1">IFERROR(__xludf.DUMMYFUNCTION("""COMPUTED_VALUE"""),"Prioridad 5")</f>
        <v>Prioridad 5</v>
      </c>
      <c r="J864" s="43" t="s">
        <v>262</v>
      </c>
    </row>
    <row r="865" spans="2:10">
      <c r="B865" s="25" t="str">
        <f ca="1">IFERROR(__xludf.DUMMYFUNCTION("""COMPUTED_VALUE"""),"MUNICIPALIDAD DISTRITAL")</f>
        <v>MUNICIPALIDAD DISTRITAL</v>
      </c>
      <c r="C865" s="25" t="str">
        <f ca="1">IFERROR(__xludf.DUMMYFUNCTION("""COMPUTED_VALUE"""),"MUNICIPALIDAD DISTRITAL DE SAN JUAN EN CASTROVIRREYNA")</f>
        <v>MUNICIPALIDAD DISTRITAL DE SAN JUAN EN CASTROVIRREYNA</v>
      </c>
      <c r="D865" s="25" t="str">
        <f ca="1">IFERROR(__xludf.DUMMYFUNCTION("""COMPUTED_VALUE"""),"ICA")</f>
        <v>ICA</v>
      </c>
      <c r="E865" s="25" t="str">
        <f ca="1">IFERROR(__xludf.DUMMYFUNCTION("""COMPUTED_VALUE"""),"HUANCAVELICA")</f>
        <v>HUANCAVELICA</v>
      </c>
      <c r="F865" s="25" t="str">
        <f ca="1">IFERROR(__xludf.DUMMYFUNCTION("""COMPUTED_VALUE"""),"CASTROVIRREYNA")</f>
        <v>CASTROVIRREYNA</v>
      </c>
      <c r="G865" s="25" t="str">
        <f ca="1">IFERROR(__xludf.DUMMYFUNCTION("""COMPUTED_VALUE"""),"SAN JUAN")</f>
        <v>SAN JUAN</v>
      </c>
      <c r="H865" s="25" t="str">
        <f ca="1">IFERROR(__xludf.DUMMYFUNCTION("""COMPUTED_VALUE"""),"RURAL")</f>
        <v>RURAL</v>
      </c>
      <c r="I865" s="25" t="str">
        <f ca="1">IFERROR(__xludf.DUMMYFUNCTION("""COMPUTED_VALUE"""),"Prioridad 3")</f>
        <v>Prioridad 3</v>
      </c>
      <c r="J865" s="43" t="s">
        <v>262</v>
      </c>
    </row>
    <row r="866" spans="2:10">
      <c r="B866" s="25" t="str">
        <f ca="1">IFERROR(__xludf.DUMMYFUNCTION("""COMPUTED_VALUE"""),"MUNICIPALIDAD DISTRITAL")</f>
        <v>MUNICIPALIDAD DISTRITAL</v>
      </c>
      <c r="C866" s="25" t="str">
        <f ca="1">IFERROR(__xludf.DUMMYFUNCTION("""COMPUTED_VALUE"""),"MUNICIPALIDAD DISTRITAL DE SANTA ANA")</f>
        <v>MUNICIPALIDAD DISTRITAL DE SANTA ANA</v>
      </c>
      <c r="D866" s="25" t="str">
        <f ca="1">IFERROR(__xludf.DUMMYFUNCTION("""COMPUTED_VALUE"""),"ICA")</f>
        <v>ICA</v>
      </c>
      <c r="E866" s="25" t="str">
        <f ca="1">IFERROR(__xludf.DUMMYFUNCTION("""COMPUTED_VALUE"""),"HUANCAVELICA")</f>
        <v>HUANCAVELICA</v>
      </c>
      <c r="F866" s="25" t="str">
        <f ca="1">IFERROR(__xludf.DUMMYFUNCTION("""COMPUTED_VALUE"""),"CASTROVIRREYNA")</f>
        <v>CASTROVIRREYNA</v>
      </c>
      <c r="G866" s="25" t="str">
        <f ca="1">IFERROR(__xludf.DUMMYFUNCTION("""COMPUTED_VALUE"""),"SANTA ANA")</f>
        <v>SANTA ANA</v>
      </c>
      <c r="H866" s="25" t="str">
        <f ca="1">IFERROR(__xludf.DUMMYFUNCTION("""COMPUTED_VALUE"""),"RURAL")</f>
        <v>RURAL</v>
      </c>
      <c r="I866" s="25" t="str">
        <f ca="1">IFERROR(__xludf.DUMMYFUNCTION("""COMPUTED_VALUE"""),"Prioridad 3")</f>
        <v>Prioridad 3</v>
      </c>
      <c r="J866" s="43" t="s">
        <v>262</v>
      </c>
    </row>
    <row r="867" spans="2:10">
      <c r="B867" s="25" t="str">
        <f ca="1">IFERROR(__xludf.DUMMYFUNCTION("""COMPUTED_VALUE"""),"MUNICIPALIDAD DISTRITAL")</f>
        <v>MUNICIPALIDAD DISTRITAL</v>
      </c>
      <c r="C867" s="25" t="str">
        <f ca="1">IFERROR(__xludf.DUMMYFUNCTION("""COMPUTED_VALUE"""),"MUNICIPALIDAD DISTRITAL DE TANTARA")</f>
        <v>MUNICIPALIDAD DISTRITAL DE TANTARA</v>
      </c>
      <c r="D867" s="25" t="str">
        <f ca="1">IFERROR(__xludf.DUMMYFUNCTION("""COMPUTED_VALUE"""),"ICA")</f>
        <v>ICA</v>
      </c>
      <c r="E867" s="25" t="str">
        <f ca="1">IFERROR(__xludf.DUMMYFUNCTION("""COMPUTED_VALUE"""),"HUANCAVELICA")</f>
        <v>HUANCAVELICA</v>
      </c>
      <c r="F867" s="25" t="str">
        <f ca="1">IFERROR(__xludf.DUMMYFUNCTION("""COMPUTED_VALUE"""),"CASTROVIRREYNA")</f>
        <v>CASTROVIRREYNA</v>
      </c>
      <c r="G867" s="25" t="str">
        <f ca="1">IFERROR(__xludf.DUMMYFUNCTION("""COMPUTED_VALUE"""),"TANTARA")</f>
        <v>TANTARA</v>
      </c>
      <c r="H867" s="25" t="str">
        <f ca="1">IFERROR(__xludf.DUMMYFUNCTION("""COMPUTED_VALUE"""),"RURAL")</f>
        <v>RURAL</v>
      </c>
      <c r="I867" s="25" t="str">
        <f ca="1">IFERROR(__xludf.DUMMYFUNCTION("""COMPUTED_VALUE"""),"Prioridad 3")</f>
        <v>Prioridad 3</v>
      </c>
      <c r="J867" s="43" t="s">
        <v>262</v>
      </c>
    </row>
    <row r="868" spans="2:10">
      <c r="B868" s="25" t="str">
        <f ca="1">IFERROR(__xludf.DUMMYFUNCTION("""COMPUTED_VALUE"""),"MUNICIPALIDAD DISTRITAL")</f>
        <v>MUNICIPALIDAD DISTRITAL</v>
      </c>
      <c r="C868" s="25" t="str">
        <f ca="1">IFERROR(__xludf.DUMMYFUNCTION("""COMPUTED_VALUE"""),"MUNICIPALIDAD DISTRITAL DE TICRAPO")</f>
        <v>MUNICIPALIDAD DISTRITAL DE TICRAPO</v>
      </c>
      <c r="D868" s="25" t="str">
        <f ca="1">IFERROR(__xludf.DUMMYFUNCTION("""COMPUTED_VALUE"""),"ICA")</f>
        <v>ICA</v>
      </c>
      <c r="E868" s="25" t="str">
        <f ca="1">IFERROR(__xludf.DUMMYFUNCTION("""COMPUTED_VALUE"""),"HUANCAVELICA")</f>
        <v>HUANCAVELICA</v>
      </c>
      <c r="F868" s="25" t="str">
        <f ca="1">IFERROR(__xludf.DUMMYFUNCTION("""COMPUTED_VALUE"""),"CASTROVIRREYNA")</f>
        <v>CASTROVIRREYNA</v>
      </c>
      <c r="G868" s="25" t="str">
        <f ca="1">IFERROR(__xludf.DUMMYFUNCTION("""COMPUTED_VALUE"""),"TICRAPO")</f>
        <v>TICRAPO</v>
      </c>
      <c r="H868" s="25" t="str">
        <f ca="1">IFERROR(__xludf.DUMMYFUNCTION("""COMPUTED_VALUE"""),"RURAL")</f>
        <v>RURAL</v>
      </c>
      <c r="I868" s="25" t="str">
        <f ca="1">IFERROR(__xludf.DUMMYFUNCTION("""COMPUTED_VALUE"""),"Prioridad 2")</f>
        <v>Prioridad 2</v>
      </c>
      <c r="J868" s="43" t="s">
        <v>262</v>
      </c>
    </row>
    <row r="869" spans="2:10">
      <c r="B869" s="25" t="str">
        <f ca="1">IFERROR(__xludf.DUMMYFUNCTION("""COMPUTED_VALUE"""),"MUNICIPALIDAD PROVINCIAL")</f>
        <v>MUNICIPALIDAD PROVINCIAL</v>
      </c>
      <c r="C869" s="25" t="str">
        <f ca="1">IFERROR(__xludf.DUMMYFUNCTION("""COMPUTED_VALUE"""),"MUNICIPALIDAD PROVINCIAL DE CHURCAMPA")</f>
        <v>MUNICIPALIDAD PROVINCIAL DE CHURCAMPA</v>
      </c>
      <c r="D869" s="25" t="str">
        <f ca="1">IFERROR(__xludf.DUMMYFUNCTION("""COMPUTED_VALUE"""),"JUNÍN")</f>
        <v>JUNÍN</v>
      </c>
      <c r="E869" s="25" t="str">
        <f ca="1">IFERROR(__xludf.DUMMYFUNCTION("""COMPUTED_VALUE"""),"HUANCAVELICA")</f>
        <v>HUANCAVELICA</v>
      </c>
      <c r="F869" s="25" t="str">
        <f ca="1">IFERROR(__xludf.DUMMYFUNCTION("""COMPUTED_VALUE"""),"CHURCAMPA")</f>
        <v>CHURCAMPA</v>
      </c>
      <c r="G869" s="25" t="str">
        <f ca="1">IFERROR(__xludf.DUMMYFUNCTION("""COMPUTED_VALUE"""),"CHURCAMPA")</f>
        <v>CHURCAMPA</v>
      </c>
      <c r="H869" s="25" t="str">
        <f ca="1">IFERROR(__xludf.DUMMYFUNCTION("""COMPUTED_VALUE"""),"RURAL")</f>
        <v>RURAL</v>
      </c>
      <c r="I869" s="25" t="str">
        <f ca="1">IFERROR(__xludf.DUMMYFUNCTION("""COMPUTED_VALUE"""),"Prioridad 1")</f>
        <v>Prioridad 1</v>
      </c>
      <c r="J869" s="43" t="s">
        <v>262</v>
      </c>
    </row>
    <row r="870" spans="2:10">
      <c r="B870" s="25" t="str">
        <f ca="1">IFERROR(__xludf.DUMMYFUNCTION("""COMPUTED_VALUE"""),"MUNICIPALIDAD DISTRITAL")</f>
        <v>MUNICIPALIDAD DISTRITAL</v>
      </c>
      <c r="C870" s="25" t="str">
        <f ca="1">IFERROR(__xludf.DUMMYFUNCTION("""COMPUTED_VALUE"""),"MUNICIPALIDAD DISTRITAL DE ANCO EN CHURCAMPA")</f>
        <v>MUNICIPALIDAD DISTRITAL DE ANCO EN CHURCAMPA</v>
      </c>
      <c r="D870" s="25" t="str">
        <f ca="1">IFERROR(__xludf.DUMMYFUNCTION("""COMPUTED_VALUE"""),"JUNÍN")</f>
        <v>JUNÍN</v>
      </c>
      <c r="E870" s="25" t="str">
        <f ca="1">IFERROR(__xludf.DUMMYFUNCTION("""COMPUTED_VALUE"""),"HUANCAVELICA")</f>
        <v>HUANCAVELICA</v>
      </c>
      <c r="F870" s="25" t="str">
        <f ca="1">IFERROR(__xludf.DUMMYFUNCTION("""COMPUTED_VALUE"""),"CHURCAMPA")</f>
        <v>CHURCAMPA</v>
      </c>
      <c r="G870" s="25" t="str">
        <f ca="1">IFERROR(__xludf.DUMMYFUNCTION("""COMPUTED_VALUE"""),"ANCO")</f>
        <v>ANCO</v>
      </c>
      <c r="H870" s="25" t="str">
        <f ca="1">IFERROR(__xludf.DUMMYFUNCTION("""COMPUTED_VALUE"""),"RURAL")</f>
        <v>RURAL</v>
      </c>
      <c r="I870" s="25" t="str">
        <f ca="1">IFERROR(__xludf.DUMMYFUNCTION("""COMPUTED_VALUE"""),"Prioridad 3")</f>
        <v>Prioridad 3</v>
      </c>
      <c r="J870" s="43" t="s">
        <v>262</v>
      </c>
    </row>
    <row r="871" spans="2:10">
      <c r="B871" s="25" t="str">
        <f ca="1">IFERROR(__xludf.DUMMYFUNCTION("""COMPUTED_VALUE"""),"MUNICIPALIDAD DISTRITAL")</f>
        <v>MUNICIPALIDAD DISTRITAL</v>
      </c>
      <c r="C871" s="25" t="str">
        <f ca="1">IFERROR(__xludf.DUMMYFUNCTION("""COMPUTED_VALUE"""),"MUNICIPALIDAD DISTRITAL DE CHINCHIHUASI")</f>
        <v>MUNICIPALIDAD DISTRITAL DE CHINCHIHUASI</v>
      </c>
      <c r="D871" s="25" t="str">
        <f ca="1">IFERROR(__xludf.DUMMYFUNCTION("""COMPUTED_VALUE"""),"JUNÍN")</f>
        <v>JUNÍN</v>
      </c>
      <c r="E871" s="25" t="str">
        <f ca="1">IFERROR(__xludf.DUMMYFUNCTION("""COMPUTED_VALUE"""),"HUANCAVELICA")</f>
        <v>HUANCAVELICA</v>
      </c>
      <c r="F871" s="25" t="str">
        <f ca="1">IFERROR(__xludf.DUMMYFUNCTION("""COMPUTED_VALUE"""),"CHURCAMPA")</f>
        <v>CHURCAMPA</v>
      </c>
      <c r="G871" s="25" t="str">
        <f ca="1">IFERROR(__xludf.DUMMYFUNCTION("""COMPUTED_VALUE"""),"CHINCHIHUASI")</f>
        <v>CHINCHIHUASI</v>
      </c>
      <c r="H871" s="25" t="str">
        <f ca="1">IFERROR(__xludf.DUMMYFUNCTION("""COMPUTED_VALUE"""),"RURAL")</f>
        <v>RURAL</v>
      </c>
      <c r="I871" s="25" t="str">
        <f ca="1">IFERROR(__xludf.DUMMYFUNCTION("""COMPUTED_VALUE"""),"Prioridad 4")</f>
        <v>Prioridad 4</v>
      </c>
      <c r="J871" s="43" t="s">
        <v>262</v>
      </c>
    </row>
    <row r="872" spans="2:10">
      <c r="B872" s="25" t="str">
        <f ca="1">IFERROR(__xludf.DUMMYFUNCTION("""COMPUTED_VALUE"""),"MUNICIPALIDAD DISTRITAL")</f>
        <v>MUNICIPALIDAD DISTRITAL</v>
      </c>
      <c r="C872" s="25" t="str">
        <f ca="1">IFERROR(__xludf.DUMMYFUNCTION("""COMPUTED_VALUE"""),"MUNICIPALIDAD DISTRITAL DE COSME")</f>
        <v>MUNICIPALIDAD DISTRITAL DE COSME</v>
      </c>
      <c r="D872" s="25" t="str">
        <f ca="1">IFERROR(__xludf.DUMMYFUNCTION("""COMPUTED_VALUE"""),"JUNÍN")</f>
        <v>JUNÍN</v>
      </c>
      <c r="E872" s="25" t="str">
        <f ca="1">IFERROR(__xludf.DUMMYFUNCTION("""COMPUTED_VALUE"""),"HUANCAVELICA")</f>
        <v>HUANCAVELICA</v>
      </c>
      <c r="F872" s="25" t="str">
        <f ca="1">IFERROR(__xludf.DUMMYFUNCTION("""COMPUTED_VALUE"""),"CHURCAMPA")</f>
        <v>CHURCAMPA</v>
      </c>
      <c r="G872" s="25" t="str">
        <f ca="1">IFERROR(__xludf.DUMMYFUNCTION("""COMPUTED_VALUE"""),"COSME")</f>
        <v>COSME</v>
      </c>
      <c r="H872" s="25" t="str">
        <f ca="1">IFERROR(__xludf.DUMMYFUNCTION("""COMPUTED_VALUE"""),"RURAL")</f>
        <v>RURAL</v>
      </c>
      <c r="I872" s="25" t="str">
        <f ca="1">IFERROR(__xludf.DUMMYFUNCTION("""COMPUTED_VALUE"""),"Prioridad 5")</f>
        <v>Prioridad 5</v>
      </c>
      <c r="J872" s="43" t="s">
        <v>262</v>
      </c>
    </row>
    <row r="873" spans="2:10">
      <c r="B873" s="25" t="str">
        <f ca="1">IFERROR(__xludf.DUMMYFUNCTION("""COMPUTED_VALUE"""),"MUNICIPALIDAD DISTRITAL")</f>
        <v>MUNICIPALIDAD DISTRITAL</v>
      </c>
      <c r="C873" s="25" t="str">
        <f ca="1">IFERROR(__xludf.DUMMYFUNCTION("""COMPUTED_VALUE"""),"MUNICIPALIDAD DISTRITAL DE EL CARMEN EN CHURCAMPA")</f>
        <v>MUNICIPALIDAD DISTRITAL DE EL CARMEN EN CHURCAMPA</v>
      </c>
      <c r="D873" s="25" t="str">
        <f ca="1">IFERROR(__xludf.DUMMYFUNCTION("""COMPUTED_VALUE"""),"JUNÍN")</f>
        <v>JUNÍN</v>
      </c>
      <c r="E873" s="25" t="str">
        <f ca="1">IFERROR(__xludf.DUMMYFUNCTION("""COMPUTED_VALUE"""),"HUANCAVELICA")</f>
        <v>HUANCAVELICA</v>
      </c>
      <c r="F873" s="25" t="str">
        <f ca="1">IFERROR(__xludf.DUMMYFUNCTION("""COMPUTED_VALUE"""),"CHURCAMPA")</f>
        <v>CHURCAMPA</v>
      </c>
      <c r="G873" s="25" t="str">
        <f ca="1">IFERROR(__xludf.DUMMYFUNCTION("""COMPUTED_VALUE"""),"EL CARMEN")</f>
        <v>EL CARMEN</v>
      </c>
      <c r="H873" s="25" t="str">
        <f ca="1">IFERROR(__xludf.DUMMYFUNCTION("""COMPUTED_VALUE"""),"RURAL")</f>
        <v>RURAL</v>
      </c>
      <c r="I873" s="25" t="str">
        <f ca="1">IFERROR(__xludf.DUMMYFUNCTION("""COMPUTED_VALUE"""),"Prioridad 3")</f>
        <v>Prioridad 3</v>
      </c>
      <c r="J873" s="43" t="s">
        <v>262</v>
      </c>
    </row>
    <row r="874" spans="2:10">
      <c r="B874" s="25" t="str">
        <f ca="1">IFERROR(__xludf.DUMMYFUNCTION("""COMPUTED_VALUE"""),"MUNICIPALIDAD DISTRITAL")</f>
        <v>MUNICIPALIDAD DISTRITAL</v>
      </c>
      <c r="C874" s="25" t="str">
        <f ca="1">IFERROR(__xludf.DUMMYFUNCTION("""COMPUTED_VALUE"""),"MUNICIPALIDAD DISTRITAL DE LA MERCED EN CHURCAMPA")</f>
        <v>MUNICIPALIDAD DISTRITAL DE LA MERCED EN CHURCAMPA</v>
      </c>
      <c r="D874" s="25" t="str">
        <f ca="1">IFERROR(__xludf.DUMMYFUNCTION("""COMPUTED_VALUE"""),"JUNÍN")</f>
        <v>JUNÍN</v>
      </c>
      <c r="E874" s="25" t="str">
        <f ca="1">IFERROR(__xludf.DUMMYFUNCTION("""COMPUTED_VALUE"""),"HUANCAVELICA")</f>
        <v>HUANCAVELICA</v>
      </c>
      <c r="F874" s="25" t="str">
        <f ca="1">IFERROR(__xludf.DUMMYFUNCTION("""COMPUTED_VALUE"""),"CHURCAMPA")</f>
        <v>CHURCAMPA</v>
      </c>
      <c r="G874" s="25" t="str">
        <f ca="1">IFERROR(__xludf.DUMMYFUNCTION("""COMPUTED_VALUE"""),"LA MERCED")</f>
        <v>LA MERCED</v>
      </c>
      <c r="H874" s="25" t="str">
        <f ca="1">IFERROR(__xludf.DUMMYFUNCTION("""COMPUTED_VALUE"""),"RURAL")</f>
        <v>RURAL</v>
      </c>
      <c r="I874" s="25" t="str">
        <f ca="1">IFERROR(__xludf.DUMMYFUNCTION("""COMPUTED_VALUE"""),"Prioridad 5")</f>
        <v>Prioridad 5</v>
      </c>
      <c r="J874" s="43" t="s">
        <v>262</v>
      </c>
    </row>
    <row r="875" spans="2:10">
      <c r="B875" s="25" t="str">
        <f ca="1">IFERROR(__xludf.DUMMYFUNCTION("""COMPUTED_VALUE"""),"MUNICIPALIDAD DISTRITAL")</f>
        <v>MUNICIPALIDAD DISTRITAL</v>
      </c>
      <c r="C875" s="25" t="str">
        <f ca="1">IFERROR(__xludf.DUMMYFUNCTION("""COMPUTED_VALUE"""),"MUNICIPALIDAD DISTRITAL DE LOCROJA")</f>
        <v>MUNICIPALIDAD DISTRITAL DE LOCROJA</v>
      </c>
      <c r="D875" s="25" t="str">
        <f ca="1">IFERROR(__xludf.DUMMYFUNCTION("""COMPUTED_VALUE"""),"JUNÍN")</f>
        <v>JUNÍN</v>
      </c>
      <c r="E875" s="25" t="str">
        <f ca="1">IFERROR(__xludf.DUMMYFUNCTION("""COMPUTED_VALUE"""),"HUANCAVELICA")</f>
        <v>HUANCAVELICA</v>
      </c>
      <c r="F875" s="25" t="str">
        <f ca="1">IFERROR(__xludf.DUMMYFUNCTION("""COMPUTED_VALUE"""),"CHURCAMPA")</f>
        <v>CHURCAMPA</v>
      </c>
      <c r="G875" s="25" t="str">
        <f ca="1">IFERROR(__xludf.DUMMYFUNCTION("""COMPUTED_VALUE"""),"LOCROJA")</f>
        <v>LOCROJA</v>
      </c>
      <c r="H875" s="25" t="str">
        <f ca="1">IFERROR(__xludf.DUMMYFUNCTION("""COMPUTED_VALUE"""),"RURAL")</f>
        <v>RURAL</v>
      </c>
      <c r="I875" s="25" t="str">
        <f ca="1">IFERROR(__xludf.DUMMYFUNCTION("""COMPUTED_VALUE"""),"Prioridad 5")</f>
        <v>Prioridad 5</v>
      </c>
      <c r="J875" s="43" t="s">
        <v>262</v>
      </c>
    </row>
    <row r="876" spans="2:10">
      <c r="B876" s="25" t="str">
        <f ca="1">IFERROR(__xludf.DUMMYFUNCTION("""COMPUTED_VALUE"""),"MUNICIPALIDAD DISTRITAL")</f>
        <v>MUNICIPALIDAD DISTRITAL</v>
      </c>
      <c r="C876" s="25" t="str">
        <f ca="1">IFERROR(__xludf.DUMMYFUNCTION("""COMPUTED_VALUE"""),"MUNICIPALIDAD DISTRITAL DE PACHAMARCA")</f>
        <v>MUNICIPALIDAD DISTRITAL DE PACHAMARCA</v>
      </c>
      <c r="D876" s="25" t="str">
        <f ca="1">IFERROR(__xludf.DUMMYFUNCTION("""COMPUTED_VALUE"""),"JUNÍN")</f>
        <v>JUNÍN</v>
      </c>
      <c r="E876" s="25" t="str">
        <f ca="1">IFERROR(__xludf.DUMMYFUNCTION("""COMPUTED_VALUE"""),"HUANCAVELICA")</f>
        <v>HUANCAVELICA</v>
      </c>
      <c r="F876" s="25" t="str">
        <f ca="1">IFERROR(__xludf.DUMMYFUNCTION("""COMPUTED_VALUE"""),"CHURCAMPA")</f>
        <v>CHURCAMPA</v>
      </c>
      <c r="G876" s="25" t="str">
        <f ca="1">IFERROR(__xludf.DUMMYFUNCTION("""COMPUTED_VALUE"""),"PACHAMARCA")</f>
        <v>PACHAMARCA</v>
      </c>
      <c r="H876" s="25" t="str">
        <f ca="1">IFERROR(__xludf.DUMMYFUNCTION("""COMPUTED_VALUE"""),"RURAL")</f>
        <v>RURAL</v>
      </c>
      <c r="I876" s="25" t="str">
        <f ca="1">IFERROR(__xludf.DUMMYFUNCTION("""COMPUTED_VALUE"""),"Prioridad 4")</f>
        <v>Prioridad 4</v>
      </c>
      <c r="J876" s="43" t="s">
        <v>262</v>
      </c>
    </row>
    <row r="877" spans="2:10">
      <c r="B877" s="25" t="str">
        <f ca="1">IFERROR(__xludf.DUMMYFUNCTION("""COMPUTED_VALUE"""),"MUNICIPALIDAD DISTRITAL")</f>
        <v>MUNICIPALIDAD DISTRITAL</v>
      </c>
      <c r="C877" s="25" t="str">
        <f ca="1">IFERROR(__xludf.DUMMYFUNCTION("""COMPUTED_VALUE"""),"MUNICIPALIDAD DISTRITAL DE PAUCARBAMBA")</f>
        <v>MUNICIPALIDAD DISTRITAL DE PAUCARBAMBA</v>
      </c>
      <c r="D877" s="25" t="str">
        <f ca="1">IFERROR(__xludf.DUMMYFUNCTION("""COMPUTED_VALUE"""),"JUNÍN")</f>
        <v>JUNÍN</v>
      </c>
      <c r="E877" s="25" t="str">
        <f ca="1">IFERROR(__xludf.DUMMYFUNCTION("""COMPUTED_VALUE"""),"HUANCAVELICA")</f>
        <v>HUANCAVELICA</v>
      </c>
      <c r="F877" s="25" t="str">
        <f ca="1">IFERROR(__xludf.DUMMYFUNCTION("""COMPUTED_VALUE"""),"CHURCAMPA")</f>
        <v>CHURCAMPA</v>
      </c>
      <c r="G877" s="25" t="str">
        <f ca="1">IFERROR(__xludf.DUMMYFUNCTION("""COMPUTED_VALUE"""),"PAUCARBAMBA")</f>
        <v>PAUCARBAMBA</v>
      </c>
      <c r="H877" s="25" t="str">
        <f ca="1">IFERROR(__xludf.DUMMYFUNCTION("""COMPUTED_VALUE"""),"RURAL")</f>
        <v>RURAL</v>
      </c>
      <c r="I877" s="25" t="str">
        <f ca="1">IFERROR(__xludf.DUMMYFUNCTION("""COMPUTED_VALUE"""),"Prioridad 4")</f>
        <v>Prioridad 4</v>
      </c>
      <c r="J877" s="43" t="s">
        <v>262</v>
      </c>
    </row>
    <row r="878" spans="2:10">
      <c r="B878" s="25" t="str">
        <f ca="1">IFERROR(__xludf.DUMMYFUNCTION("""COMPUTED_VALUE"""),"MUNICIPALIDAD DISTRITAL")</f>
        <v>MUNICIPALIDAD DISTRITAL</v>
      </c>
      <c r="C878" s="25" t="str">
        <f ca="1">IFERROR(__xludf.DUMMYFUNCTION("""COMPUTED_VALUE"""),"MUNICIPALIDAD DISTRITAL DE SAN MIGUEL DE MAYOCC")</f>
        <v>MUNICIPALIDAD DISTRITAL DE SAN MIGUEL DE MAYOCC</v>
      </c>
      <c r="D878" s="25" t="str">
        <f ca="1">IFERROR(__xludf.DUMMYFUNCTION("""COMPUTED_VALUE"""),"JUNÍN")</f>
        <v>JUNÍN</v>
      </c>
      <c r="E878" s="25" t="str">
        <f ca="1">IFERROR(__xludf.DUMMYFUNCTION("""COMPUTED_VALUE"""),"HUANCAVELICA")</f>
        <v>HUANCAVELICA</v>
      </c>
      <c r="F878" s="25" t="str">
        <f ca="1">IFERROR(__xludf.DUMMYFUNCTION("""COMPUTED_VALUE"""),"CHURCAMPA")</f>
        <v>CHURCAMPA</v>
      </c>
      <c r="G878" s="25" t="str">
        <f ca="1">IFERROR(__xludf.DUMMYFUNCTION("""COMPUTED_VALUE"""),"SAN MIGUEL DE MAYOCC")</f>
        <v>SAN MIGUEL DE MAYOCC</v>
      </c>
      <c r="H878" s="25" t="str">
        <f ca="1">IFERROR(__xludf.DUMMYFUNCTION("""COMPUTED_VALUE"""),"RURAL")</f>
        <v>RURAL</v>
      </c>
      <c r="I878" s="25" t="str">
        <f ca="1">IFERROR(__xludf.DUMMYFUNCTION("""COMPUTED_VALUE"""),"Prioridad 5")</f>
        <v>Prioridad 5</v>
      </c>
      <c r="J878" s="43" t="s">
        <v>262</v>
      </c>
    </row>
    <row r="879" spans="2:10">
      <c r="B879" s="25" t="str">
        <f ca="1">IFERROR(__xludf.DUMMYFUNCTION("""COMPUTED_VALUE"""),"MUNICIPALIDAD DISTRITAL")</f>
        <v>MUNICIPALIDAD DISTRITAL</v>
      </c>
      <c r="C879" s="25" t="str">
        <f ca="1">IFERROR(__xludf.DUMMYFUNCTION("""COMPUTED_VALUE"""),"MUNICIPALIDAD DISTRITAL DE SAN PEDRO DE CORIS")</f>
        <v>MUNICIPALIDAD DISTRITAL DE SAN PEDRO DE CORIS</v>
      </c>
      <c r="D879" s="25" t="str">
        <f ca="1">IFERROR(__xludf.DUMMYFUNCTION("""COMPUTED_VALUE"""),"JUNÍN")</f>
        <v>JUNÍN</v>
      </c>
      <c r="E879" s="25" t="str">
        <f ca="1">IFERROR(__xludf.DUMMYFUNCTION("""COMPUTED_VALUE"""),"HUANCAVELICA")</f>
        <v>HUANCAVELICA</v>
      </c>
      <c r="F879" s="25" t="str">
        <f ca="1">IFERROR(__xludf.DUMMYFUNCTION("""COMPUTED_VALUE"""),"CHURCAMPA")</f>
        <v>CHURCAMPA</v>
      </c>
      <c r="G879" s="25" t="str">
        <f ca="1">IFERROR(__xludf.DUMMYFUNCTION("""COMPUTED_VALUE"""),"SAN PEDRO DE CORIS")</f>
        <v>SAN PEDRO DE CORIS</v>
      </c>
      <c r="H879" s="25" t="str">
        <f ca="1">IFERROR(__xludf.DUMMYFUNCTION("""COMPUTED_VALUE"""),"RURAL")</f>
        <v>RURAL</v>
      </c>
      <c r="I879" s="25" t="str">
        <f ca="1">IFERROR(__xludf.DUMMYFUNCTION("""COMPUTED_VALUE"""),"Prioridad 2")</f>
        <v>Prioridad 2</v>
      </c>
      <c r="J879" s="43" t="s">
        <v>262</v>
      </c>
    </row>
    <row r="880" spans="2:10">
      <c r="B880" s="25" t="str">
        <f ca="1">IFERROR(__xludf.DUMMYFUNCTION("""COMPUTED_VALUE"""),"MUNICIPALIDAD PROVINCIAL")</f>
        <v>MUNICIPALIDAD PROVINCIAL</v>
      </c>
      <c r="C880" s="25" t="str">
        <f ca="1">IFERROR(__xludf.DUMMYFUNCTION("""COMPUTED_VALUE"""),"MUNICIPALIDAD PROVINCIAL DE HUANCAVELICA")</f>
        <v>MUNICIPALIDAD PROVINCIAL DE HUANCAVELICA</v>
      </c>
      <c r="D880" s="25" t="str">
        <f ca="1">IFERROR(__xludf.DUMMYFUNCTION("""COMPUTED_VALUE"""),"JUNÍN")</f>
        <v>JUNÍN</v>
      </c>
      <c r="E880" s="25" t="str">
        <f ca="1">IFERROR(__xludf.DUMMYFUNCTION("""COMPUTED_VALUE"""),"HUANCAVELICA")</f>
        <v>HUANCAVELICA</v>
      </c>
      <c r="F880" s="25" t="str">
        <f ca="1">IFERROR(__xludf.DUMMYFUNCTION("""COMPUTED_VALUE"""),"HUANCAVELICA")</f>
        <v>HUANCAVELICA</v>
      </c>
      <c r="G880" s="25" t="str">
        <f ca="1">IFERROR(__xludf.DUMMYFUNCTION("""COMPUTED_VALUE"""),"HUANCAVELICA")</f>
        <v>HUANCAVELICA</v>
      </c>
      <c r="H880" s="25" t="str">
        <f ca="1">IFERROR(__xludf.DUMMYFUNCTION("""COMPUTED_VALUE"""),"URBANO")</f>
        <v>URBANO</v>
      </c>
      <c r="I880" s="25" t="str">
        <f ca="1">IFERROR(__xludf.DUMMYFUNCTION("""COMPUTED_VALUE"""),"Prioridad 1")</f>
        <v>Prioridad 1</v>
      </c>
      <c r="J880" s="43" t="s">
        <v>262</v>
      </c>
    </row>
    <row r="881" spans="2:10">
      <c r="B881" s="25" t="str">
        <f ca="1">IFERROR(__xludf.DUMMYFUNCTION("""COMPUTED_VALUE"""),"MUNICIPALIDAD DISTRITAL")</f>
        <v>MUNICIPALIDAD DISTRITAL</v>
      </c>
      <c r="C881" s="25" t="str">
        <f ca="1">IFERROR(__xludf.DUMMYFUNCTION("""COMPUTED_VALUE"""),"MUNICIPALIDAD DISTRITAL DE ACOBAMBILLA")</f>
        <v>MUNICIPALIDAD DISTRITAL DE ACOBAMBILLA</v>
      </c>
      <c r="D881" s="25" t="str">
        <f ca="1">IFERROR(__xludf.DUMMYFUNCTION("""COMPUTED_VALUE"""),"JUNÍN")</f>
        <v>JUNÍN</v>
      </c>
      <c r="E881" s="25" t="str">
        <f ca="1">IFERROR(__xludf.DUMMYFUNCTION("""COMPUTED_VALUE"""),"HUANCAVELICA")</f>
        <v>HUANCAVELICA</v>
      </c>
      <c r="F881" s="25" t="str">
        <f ca="1">IFERROR(__xludf.DUMMYFUNCTION("""COMPUTED_VALUE"""),"HUANCAVELICA")</f>
        <v>HUANCAVELICA</v>
      </c>
      <c r="G881" s="25" t="str">
        <f ca="1">IFERROR(__xludf.DUMMYFUNCTION("""COMPUTED_VALUE"""),"ACOBAMBILLA")</f>
        <v>ACOBAMBILLA</v>
      </c>
      <c r="H881" s="25" t="str">
        <f ca="1">IFERROR(__xludf.DUMMYFUNCTION("""COMPUTED_VALUE"""),"RURAL")</f>
        <v>RURAL</v>
      </c>
      <c r="I881" s="25" t="str">
        <f ca="1">IFERROR(__xludf.DUMMYFUNCTION("""COMPUTED_VALUE"""),"Prioridad 4")</f>
        <v>Prioridad 4</v>
      </c>
      <c r="J881" s="43" t="s">
        <v>262</v>
      </c>
    </row>
    <row r="882" spans="2:10">
      <c r="B882" s="25" t="str">
        <f ca="1">IFERROR(__xludf.DUMMYFUNCTION("""COMPUTED_VALUE"""),"MUNICIPALIDAD DISTRITAL")</f>
        <v>MUNICIPALIDAD DISTRITAL</v>
      </c>
      <c r="C882" s="25" t="str">
        <f ca="1">IFERROR(__xludf.DUMMYFUNCTION("""COMPUTED_VALUE"""),"MUNICIPALIDAD DISTRITAL DE ACORIA")</f>
        <v>MUNICIPALIDAD DISTRITAL DE ACORIA</v>
      </c>
      <c r="D882" s="25" t="str">
        <f ca="1">IFERROR(__xludf.DUMMYFUNCTION("""COMPUTED_VALUE"""),"JUNÍN")</f>
        <v>JUNÍN</v>
      </c>
      <c r="E882" s="25" t="str">
        <f ca="1">IFERROR(__xludf.DUMMYFUNCTION("""COMPUTED_VALUE"""),"HUANCAVELICA")</f>
        <v>HUANCAVELICA</v>
      </c>
      <c r="F882" s="25" t="str">
        <f ca="1">IFERROR(__xludf.DUMMYFUNCTION("""COMPUTED_VALUE"""),"HUANCAVELICA")</f>
        <v>HUANCAVELICA</v>
      </c>
      <c r="G882" s="25" t="str">
        <f ca="1">IFERROR(__xludf.DUMMYFUNCTION("""COMPUTED_VALUE"""),"ACORIA")</f>
        <v>ACORIA</v>
      </c>
      <c r="H882" s="25" t="str">
        <f ca="1">IFERROR(__xludf.DUMMYFUNCTION("""COMPUTED_VALUE"""),"RURAL")</f>
        <v>RURAL</v>
      </c>
      <c r="I882" s="25" t="str">
        <f ca="1">IFERROR(__xludf.DUMMYFUNCTION("""COMPUTED_VALUE"""),"Prioridad 4")</f>
        <v>Prioridad 4</v>
      </c>
      <c r="J882" s="43" t="s">
        <v>262</v>
      </c>
    </row>
    <row r="883" spans="2:10">
      <c r="B883" s="25" t="str">
        <f ca="1">IFERROR(__xludf.DUMMYFUNCTION("""COMPUTED_VALUE"""),"MUNICIPALIDAD DISTRITAL")</f>
        <v>MUNICIPALIDAD DISTRITAL</v>
      </c>
      <c r="C883" s="25" t="str">
        <f ca="1">IFERROR(__xludf.DUMMYFUNCTION("""COMPUTED_VALUE"""),"MUNICIPALIDAD DISTRITAL DE ASCENSION")</f>
        <v>MUNICIPALIDAD DISTRITAL DE ASCENSION</v>
      </c>
      <c r="D883" s="25" t="str">
        <f ca="1">IFERROR(__xludf.DUMMYFUNCTION("""COMPUTED_VALUE"""),"JUNÍN")</f>
        <v>JUNÍN</v>
      </c>
      <c r="E883" s="25" t="str">
        <f ca="1">IFERROR(__xludf.DUMMYFUNCTION("""COMPUTED_VALUE"""),"HUANCAVELICA")</f>
        <v>HUANCAVELICA</v>
      </c>
      <c r="F883" s="25" t="str">
        <f ca="1">IFERROR(__xludf.DUMMYFUNCTION("""COMPUTED_VALUE"""),"HUANCAVELICA")</f>
        <v>HUANCAVELICA</v>
      </c>
      <c r="G883" s="25" t="str">
        <f ca="1">IFERROR(__xludf.DUMMYFUNCTION("""COMPUTED_VALUE"""),"ASCENSION")</f>
        <v>ASCENSION</v>
      </c>
      <c r="H883" s="25" t="str">
        <f ca="1">IFERROR(__xludf.DUMMYFUNCTION("""COMPUTED_VALUE"""),"URBANO")</f>
        <v>URBANO</v>
      </c>
      <c r="I883" s="25" t="str">
        <f ca="1">IFERROR(__xludf.DUMMYFUNCTION("""COMPUTED_VALUE"""),"Prioridad 1")</f>
        <v>Prioridad 1</v>
      </c>
      <c r="J883" s="43" t="s">
        <v>262</v>
      </c>
    </row>
    <row r="884" spans="2:10">
      <c r="B884" s="25" t="str">
        <f ca="1">IFERROR(__xludf.DUMMYFUNCTION("""COMPUTED_VALUE"""),"MUNICIPALIDAD DISTRITAL")</f>
        <v>MUNICIPALIDAD DISTRITAL</v>
      </c>
      <c r="C884" s="25" t="str">
        <f ca="1">IFERROR(__xludf.DUMMYFUNCTION("""COMPUTED_VALUE"""),"MUNICIPALIDAD DISTRITAL DE CONAYCA")</f>
        <v>MUNICIPALIDAD DISTRITAL DE CONAYCA</v>
      </c>
      <c r="D884" s="25" t="str">
        <f ca="1">IFERROR(__xludf.DUMMYFUNCTION("""COMPUTED_VALUE"""),"JUNÍN")</f>
        <v>JUNÍN</v>
      </c>
      <c r="E884" s="25" t="str">
        <f ca="1">IFERROR(__xludf.DUMMYFUNCTION("""COMPUTED_VALUE"""),"HUANCAVELICA")</f>
        <v>HUANCAVELICA</v>
      </c>
      <c r="F884" s="25" t="str">
        <f ca="1">IFERROR(__xludf.DUMMYFUNCTION("""COMPUTED_VALUE"""),"HUANCAVELICA")</f>
        <v>HUANCAVELICA</v>
      </c>
      <c r="G884" s="25" t="str">
        <f ca="1">IFERROR(__xludf.DUMMYFUNCTION("""COMPUTED_VALUE"""),"CONAYCA")</f>
        <v>CONAYCA</v>
      </c>
      <c r="H884" s="25" t="str">
        <f ca="1">IFERROR(__xludf.DUMMYFUNCTION("""COMPUTED_VALUE"""),"RURAL")</f>
        <v>RURAL</v>
      </c>
      <c r="I884" s="25" t="str">
        <f ca="1">IFERROR(__xludf.DUMMYFUNCTION("""COMPUTED_VALUE"""),"Prioridad 4")</f>
        <v>Prioridad 4</v>
      </c>
      <c r="J884" s="43" t="s">
        <v>262</v>
      </c>
    </row>
    <row r="885" spans="2:10">
      <c r="B885" s="25" t="str">
        <f ca="1">IFERROR(__xludf.DUMMYFUNCTION("""COMPUTED_VALUE"""),"MUNICIPALIDAD DISTRITAL")</f>
        <v>MUNICIPALIDAD DISTRITAL</v>
      </c>
      <c r="C885" s="25" t="str">
        <f ca="1">IFERROR(__xludf.DUMMYFUNCTION("""COMPUTED_VALUE"""),"MUNICIPALIDAD DISTRITAL DE CUENCA EN HUANCAVELICA")</f>
        <v>MUNICIPALIDAD DISTRITAL DE CUENCA EN HUANCAVELICA</v>
      </c>
      <c r="D885" s="25" t="str">
        <f ca="1">IFERROR(__xludf.DUMMYFUNCTION("""COMPUTED_VALUE"""),"JUNÍN")</f>
        <v>JUNÍN</v>
      </c>
      <c r="E885" s="25" t="str">
        <f ca="1">IFERROR(__xludf.DUMMYFUNCTION("""COMPUTED_VALUE"""),"HUANCAVELICA")</f>
        <v>HUANCAVELICA</v>
      </c>
      <c r="F885" s="25" t="str">
        <f ca="1">IFERROR(__xludf.DUMMYFUNCTION("""COMPUTED_VALUE"""),"HUANCAVELICA")</f>
        <v>HUANCAVELICA</v>
      </c>
      <c r="G885" s="25" t="str">
        <f ca="1">IFERROR(__xludf.DUMMYFUNCTION("""COMPUTED_VALUE"""),"CUENCA")</f>
        <v>CUENCA</v>
      </c>
      <c r="H885" s="25" t="str">
        <f ca="1">IFERROR(__xludf.DUMMYFUNCTION("""COMPUTED_VALUE"""),"RURAL")</f>
        <v>RURAL</v>
      </c>
      <c r="I885" s="25" t="str">
        <f ca="1">IFERROR(__xludf.DUMMYFUNCTION("""COMPUTED_VALUE"""),"Prioridad 4")</f>
        <v>Prioridad 4</v>
      </c>
      <c r="J885" s="43" t="s">
        <v>262</v>
      </c>
    </row>
    <row r="886" spans="2:10">
      <c r="B886" s="25" t="str">
        <f ca="1">IFERROR(__xludf.DUMMYFUNCTION("""COMPUTED_VALUE"""),"MUNICIPALIDAD DISTRITAL")</f>
        <v>MUNICIPALIDAD DISTRITAL</v>
      </c>
      <c r="C886" s="25" t="str">
        <f ca="1">IFERROR(__xludf.DUMMYFUNCTION("""COMPUTED_VALUE"""),"MUNICIPALIDAD DISTRITAL DE HUACHOCOLPA EN HUANCAVELICA")</f>
        <v>MUNICIPALIDAD DISTRITAL DE HUACHOCOLPA EN HUANCAVELICA</v>
      </c>
      <c r="D886" s="25" t="str">
        <f ca="1">IFERROR(__xludf.DUMMYFUNCTION("""COMPUTED_VALUE"""),"JUNÍN")</f>
        <v>JUNÍN</v>
      </c>
      <c r="E886" s="25" t="str">
        <f ca="1">IFERROR(__xludf.DUMMYFUNCTION("""COMPUTED_VALUE"""),"HUANCAVELICA")</f>
        <v>HUANCAVELICA</v>
      </c>
      <c r="F886" s="25" t="str">
        <f ca="1">IFERROR(__xludf.DUMMYFUNCTION("""COMPUTED_VALUE"""),"HUANCAVELICA")</f>
        <v>HUANCAVELICA</v>
      </c>
      <c r="G886" s="25" t="str">
        <f ca="1">IFERROR(__xludf.DUMMYFUNCTION("""COMPUTED_VALUE"""),"HUACHOCOLPA")</f>
        <v>HUACHOCOLPA</v>
      </c>
      <c r="H886" s="25" t="str">
        <f ca="1">IFERROR(__xludf.DUMMYFUNCTION("""COMPUTED_VALUE"""),"RURAL")</f>
        <v>RURAL</v>
      </c>
      <c r="I886" s="25" t="str">
        <f ca="1">IFERROR(__xludf.DUMMYFUNCTION("""COMPUTED_VALUE"""),"Prioridad 2")</f>
        <v>Prioridad 2</v>
      </c>
      <c r="J886" s="43" t="s">
        <v>262</v>
      </c>
    </row>
    <row r="887" spans="2:10">
      <c r="B887" s="25" t="str">
        <f ca="1">IFERROR(__xludf.DUMMYFUNCTION("""COMPUTED_VALUE"""),"MUNICIPALIDAD DISTRITAL")</f>
        <v>MUNICIPALIDAD DISTRITAL</v>
      </c>
      <c r="C887" s="25" t="str">
        <f ca="1">IFERROR(__xludf.DUMMYFUNCTION("""COMPUTED_VALUE"""),"MUNICIPALIDAD DISTRITAL DE HUANDO")</f>
        <v>MUNICIPALIDAD DISTRITAL DE HUANDO</v>
      </c>
      <c r="D887" s="25" t="str">
        <f ca="1">IFERROR(__xludf.DUMMYFUNCTION("""COMPUTED_VALUE"""),"JUNÍN")</f>
        <v>JUNÍN</v>
      </c>
      <c r="E887" s="25" t="str">
        <f ca="1">IFERROR(__xludf.DUMMYFUNCTION("""COMPUTED_VALUE"""),"HUANCAVELICA")</f>
        <v>HUANCAVELICA</v>
      </c>
      <c r="F887" s="25" t="str">
        <f ca="1">IFERROR(__xludf.DUMMYFUNCTION("""COMPUTED_VALUE"""),"HUANCAVELICA")</f>
        <v>HUANCAVELICA</v>
      </c>
      <c r="G887" s="25" t="str">
        <f ca="1">IFERROR(__xludf.DUMMYFUNCTION("""COMPUTED_VALUE"""),"HUANDO")</f>
        <v>HUANDO</v>
      </c>
      <c r="H887" s="25" t="str">
        <f ca="1">IFERROR(__xludf.DUMMYFUNCTION("""COMPUTED_VALUE"""),"RURAL")</f>
        <v>RURAL</v>
      </c>
      <c r="I887" s="25" t="str">
        <f ca="1">IFERROR(__xludf.DUMMYFUNCTION("""COMPUTED_VALUE"""),"Prioridad 3")</f>
        <v>Prioridad 3</v>
      </c>
      <c r="J887" s="43" t="s">
        <v>262</v>
      </c>
    </row>
    <row r="888" spans="2:10">
      <c r="B888" s="25" t="str">
        <f ca="1">IFERROR(__xludf.DUMMYFUNCTION("""COMPUTED_VALUE"""),"MUNICIPALIDAD DISTRITAL")</f>
        <v>MUNICIPALIDAD DISTRITAL</v>
      </c>
      <c r="C888" s="25" t="str">
        <f ca="1">IFERROR(__xludf.DUMMYFUNCTION("""COMPUTED_VALUE"""),"MUNICIPALIDAD DISTRITAL DE HUAYLLAHUARA")</f>
        <v>MUNICIPALIDAD DISTRITAL DE HUAYLLAHUARA</v>
      </c>
      <c r="D888" s="25" t="str">
        <f ca="1">IFERROR(__xludf.DUMMYFUNCTION("""COMPUTED_VALUE"""),"JUNÍN")</f>
        <v>JUNÍN</v>
      </c>
      <c r="E888" s="25" t="str">
        <f ca="1">IFERROR(__xludf.DUMMYFUNCTION("""COMPUTED_VALUE"""),"HUANCAVELICA")</f>
        <v>HUANCAVELICA</v>
      </c>
      <c r="F888" s="25" t="str">
        <f ca="1">IFERROR(__xludf.DUMMYFUNCTION("""COMPUTED_VALUE"""),"HUANCAVELICA")</f>
        <v>HUANCAVELICA</v>
      </c>
      <c r="G888" s="25" t="str">
        <f ca="1">IFERROR(__xludf.DUMMYFUNCTION("""COMPUTED_VALUE"""),"HUAYLLAHUARA")</f>
        <v>HUAYLLAHUARA</v>
      </c>
      <c r="H888" s="25" t="str">
        <f ca="1">IFERROR(__xludf.DUMMYFUNCTION("""COMPUTED_VALUE"""),"RURAL")</f>
        <v>RURAL</v>
      </c>
      <c r="I888" s="25" t="str">
        <f ca="1">IFERROR(__xludf.DUMMYFUNCTION("""COMPUTED_VALUE"""),"Prioridad 4")</f>
        <v>Prioridad 4</v>
      </c>
      <c r="J888" s="43" t="s">
        <v>262</v>
      </c>
    </row>
    <row r="889" spans="2:10">
      <c r="B889" s="25" t="str">
        <f ca="1">IFERROR(__xludf.DUMMYFUNCTION("""COMPUTED_VALUE"""),"MUNICIPALIDAD DISTRITAL")</f>
        <v>MUNICIPALIDAD DISTRITAL</v>
      </c>
      <c r="C889" s="25" t="str">
        <f ca="1">IFERROR(__xludf.DUMMYFUNCTION("""COMPUTED_VALUE"""),"MUNICIPALIDAD DISTRITAL DE IZCUCHACA")</f>
        <v>MUNICIPALIDAD DISTRITAL DE IZCUCHACA</v>
      </c>
      <c r="D889" s="25" t="str">
        <f ca="1">IFERROR(__xludf.DUMMYFUNCTION("""COMPUTED_VALUE"""),"JUNÍN")</f>
        <v>JUNÍN</v>
      </c>
      <c r="E889" s="25" t="str">
        <f ca="1">IFERROR(__xludf.DUMMYFUNCTION("""COMPUTED_VALUE"""),"HUANCAVELICA")</f>
        <v>HUANCAVELICA</v>
      </c>
      <c r="F889" s="25" t="str">
        <f ca="1">IFERROR(__xludf.DUMMYFUNCTION("""COMPUTED_VALUE"""),"HUANCAVELICA")</f>
        <v>HUANCAVELICA</v>
      </c>
      <c r="G889" s="25" t="str">
        <f ca="1">IFERROR(__xludf.DUMMYFUNCTION("""COMPUTED_VALUE"""),"IZCUCHACA")</f>
        <v>IZCUCHACA</v>
      </c>
      <c r="H889" s="25" t="str">
        <f ca="1">IFERROR(__xludf.DUMMYFUNCTION("""COMPUTED_VALUE"""),"RURAL")</f>
        <v>RURAL</v>
      </c>
      <c r="I889" s="25" t="str">
        <f ca="1">IFERROR(__xludf.DUMMYFUNCTION("""COMPUTED_VALUE"""),"Prioridad 2")</f>
        <v>Prioridad 2</v>
      </c>
      <c r="J889" s="43" t="s">
        <v>262</v>
      </c>
    </row>
    <row r="890" spans="2:10">
      <c r="B890" s="25" t="str">
        <f ca="1">IFERROR(__xludf.DUMMYFUNCTION("""COMPUTED_VALUE"""),"OTROS")</f>
        <v>OTROS</v>
      </c>
      <c r="C890" s="25" t="str">
        <f ca="1">IFERROR(__xludf.DUMMYFUNCTION("""COMPUTED_VALUE"""),"ESCUELA SUPERIOR AUTÓNOMA DE BELLAS ARTES ""DIEGO QUISPE TITO"" DEL CUSCO")</f>
        <v>ESCUELA SUPERIOR AUTÓNOMA DE BELLAS ARTES "DIEGO QUISPE TITO" DEL CUSCO</v>
      </c>
      <c r="D890" s="25" t="str">
        <f ca="1">IFERROR(__xludf.DUMMYFUNCTION("""COMPUTED_VALUE"""),"CUZCO")</f>
        <v>CUZCO</v>
      </c>
      <c r="E890" s="25" t="str">
        <f ca="1">IFERROR(__xludf.DUMMYFUNCTION("""COMPUTED_VALUE"""),"CUZCO")</f>
        <v>CUZCO</v>
      </c>
      <c r="F890" s="25" t="str">
        <f ca="1">IFERROR(__xludf.DUMMYFUNCTION("""COMPUTED_VALUE"""),"CUZCO")</f>
        <v>CUZCO</v>
      </c>
      <c r="G890" s="25" t="str">
        <f ca="1">IFERROR(__xludf.DUMMYFUNCTION("""COMPUTED_VALUE"""),"CUZCO")</f>
        <v>CUZCO</v>
      </c>
      <c r="H890" s="25"/>
      <c r="I890" s="25" t="str">
        <f ca="1">IFERROR(__xludf.DUMMYFUNCTION("""COMPUTED_VALUE"""),"No aplica")</f>
        <v>No aplica</v>
      </c>
      <c r="J890" s="43" t="s">
        <v>262</v>
      </c>
    </row>
    <row r="891" spans="2:10">
      <c r="B891" s="25" t="str">
        <f ca="1">IFERROR(__xludf.DUMMYFUNCTION("""COMPUTED_VALUE"""),"OTROS")</f>
        <v>OTROS</v>
      </c>
      <c r="C891" s="25" t="str">
        <f ca="1">IFERROR(__xludf.DUMMYFUNCTION("""COMPUTED_VALUE"""),"INSTITUTO SUPERIOR DE MÚSICA PÚBLICO LEANDRO ALVIÑA MIRANDA DEL CUSCO")</f>
        <v>INSTITUTO SUPERIOR DE MÚSICA PÚBLICO LEANDRO ALVIÑA MIRANDA DEL CUSCO</v>
      </c>
      <c r="D891" s="25" t="str">
        <f ca="1">IFERROR(__xludf.DUMMYFUNCTION("""COMPUTED_VALUE"""),"CUZCO")</f>
        <v>CUZCO</v>
      </c>
      <c r="E891" s="25" t="str">
        <f ca="1">IFERROR(__xludf.DUMMYFUNCTION("""COMPUTED_VALUE"""),"CUZCO")</f>
        <v>CUZCO</v>
      </c>
      <c r="F891" s="25" t="str">
        <f ca="1">IFERROR(__xludf.DUMMYFUNCTION("""COMPUTED_VALUE"""),"CUZCO")</f>
        <v>CUZCO</v>
      </c>
      <c r="G891" s="25" t="str">
        <f ca="1">IFERROR(__xludf.DUMMYFUNCTION("""COMPUTED_VALUE"""),"CUZCO")</f>
        <v>CUZCO</v>
      </c>
      <c r="H891" s="25"/>
      <c r="I891" s="25" t="str">
        <f ca="1">IFERROR(__xludf.DUMMYFUNCTION("""COMPUTED_VALUE"""),"Prioridad 5")</f>
        <v>Prioridad 5</v>
      </c>
      <c r="J891" s="43" t="s">
        <v>262</v>
      </c>
    </row>
    <row r="892" spans="2:10">
      <c r="B892" s="25" t="str">
        <f ca="1">IFERROR(__xludf.DUMMYFUNCTION("""COMPUTED_VALUE"""),"MUNICIPALIDAD DISTRITAL")</f>
        <v>MUNICIPALIDAD DISTRITAL</v>
      </c>
      <c r="C892" s="25" t="str">
        <f ca="1">IFERROR(__xludf.DUMMYFUNCTION("""COMPUTED_VALUE"""),"MUNICIPALIDAD DISTRITAL DE LARIA")</f>
        <v>MUNICIPALIDAD DISTRITAL DE LARIA</v>
      </c>
      <c r="D892" s="25" t="str">
        <f ca="1">IFERROR(__xludf.DUMMYFUNCTION("""COMPUTED_VALUE"""),"JUNÍN")</f>
        <v>JUNÍN</v>
      </c>
      <c r="E892" s="25" t="str">
        <f ca="1">IFERROR(__xludf.DUMMYFUNCTION("""COMPUTED_VALUE"""),"HUANCAVELICA")</f>
        <v>HUANCAVELICA</v>
      </c>
      <c r="F892" s="25" t="str">
        <f ca="1">IFERROR(__xludf.DUMMYFUNCTION("""COMPUTED_VALUE"""),"HUANCAVELICA")</f>
        <v>HUANCAVELICA</v>
      </c>
      <c r="G892" s="25" t="str">
        <f ca="1">IFERROR(__xludf.DUMMYFUNCTION("""COMPUTED_VALUE"""),"LARIA")</f>
        <v>LARIA</v>
      </c>
      <c r="H892" s="25" t="str">
        <f ca="1">IFERROR(__xludf.DUMMYFUNCTION("""COMPUTED_VALUE"""),"RURAL")</f>
        <v>RURAL</v>
      </c>
      <c r="I892" s="25" t="str">
        <f ca="1">IFERROR(__xludf.DUMMYFUNCTION("""COMPUTED_VALUE"""),"Prioridad 4")</f>
        <v>Prioridad 4</v>
      </c>
      <c r="J892" s="43" t="s">
        <v>262</v>
      </c>
    </row>
    <row r="893" spans="2:10">
      <c r="B893" s="25" t="str">
        <f ca="1">IFERROR(__xludf.DUMMYFUNCTION("""COMPUTED_VALUE"""),"MUNICIPALIDAD DISTRITAL")</f>
        <v>MUNICIPALIDAD DISTRITAL</v>
      </c>
      <c r="C893" s="25" t="str">
        <f ca="1">IFERROR(__xludf.DUMMYFUNCTION("""COMPUTED_VALUE"""),"MUNICIPALIDAD DISTRITAL DE MANTA")</f>
        <v>MUNICIPALIDAD DISTRITAL DE MANTA</v>
      </c>
      <c r="D893" s="25" t="str">
        <f ca="1">IFERROR(__xludf.DUMMYFUNCTION("""COMPUTED_VALUE"""),"JUNÍN")</f>
        <v>JUNÍN</v>
      </c>
      <c r="E893" s="25" t="str">
        <f ca="1">IFERROR(__xludf.DUMMYFUNCTION("""COMPUTED_VALUE"""),"HUANCAVELICA")</f>
        <v>HUANCAVELICA</v>
      </c>
      <c r="F893" s="25" t="str">
        <f ca="1">IFERROR(__xludf.DUMMYFUNCTION("""COMPUTED_VALUE"""),"HUANCAVELICA")</f>
        <v>HUANCAVELICA</v>
      </c>
      <c r="G893" s="25" t="str">
        <f ca="1">IFERROR(__xludf.DUMMYFUNCTION("""COMPUTED_VALUE"""),"MANTA")</f>
        <v>MANTA</v>
      </c>
      <c r="H893" s="25" t="str">
        <f ca="1">IFERROR(__xludf.DUMMYFUNCTION("""COMPUTED_VALUE"""),"RURAL")</f>
        <v>RURAL</v>
      </c>
      <c r="I893" s="25" t="str">
        <f ca="1">IFERROR(__xludf.DUMMYFUNCTION("""COMPUTED_VALUE"""),"Prioridad 5")</f>
        <v>Prioridad 5</v>
      </c>
      <c r="J893" s="43" t="s">
        <v>262</v>
      </c>
    </row>
    <row r="894" spans="2:10">
      <c r="B894" s="25" t="str">
        <f ca="1">IFERROR(__xludf.DUMMYFUNCTION("""COMPUTED_VALUE"""),"MUNICIPALIDAD DISTRITAL")</f>
        <v>MUNICIPALIDAD DISTRITAL</v>
      </c>
      <c r="C894" s="25" t="str">
        <f ca="1">IFERROR(__xludf.DUMMYFUNCTION("""COMPUTED_VALUE"""),"MUNICIPALIDAD DISTRITAL DE MARISCAL CACERES EN HUANCAVELICA")</f>
        <v>MUNICIPALIDAD DISTRITAL DE MARISCAL CACERES EN HUANCAVELICA</v>
      </c>
      <c r="D894" s="25" t="str">
        <f ca="1">IFERROR(__xludf.DUMMYFUNCTION("""COMPUTED_VALUE"""),"JUNÍN")</f>
        <v>JUNÍN</v>
      </c>
      <c r="E894" s="25" t="str">
        <f ca="1">IFERROR(__xludf.DUMMYFUNCTION("""COMPUTED_VALUE"""),"HUANCAVELICA")</f>
        <v>HUANCAVELICA</v>
      </c>
      <c r="F894" s="25" t="str">
        <f ca="1">IFERROR(__xludf.DUMMYFUNCTION("""COMPUTED_VALUE"""),"HUANCAVELICA")</f>
        <v>HUANCAVELICA</v>
      </c>
      <c r="G894" s="25" t="str">
        <f ca="1">IFERROR(__xludf.DUMMYFUNCTION("""COMPUTED_VALUE"""),"MARISCAL CACERES")</f>
        <v>MARISCAL CACERES</v>
      </c>
      <c r="H894" s="25" t="str">
        <f ca="1">IFERROR(__xludf.DUMMYFUNCTION("""COMPUTED_VALUE"""),"RURAL")</f>
        <v>RURAL</v>
      </c>
      <c r="I894" s="25" t="str">
        <f ca="1">IFERROR(__xludf.DUMMYFUNCTION("""COMPUTED_VALUE"""),"Prioridad 2")</f>
        <v>Prioridad 2</v>
      </c>
      <c r="J894" s="43" t="s">
        <v>262</v>
      </c>
    </row>
    <row r="895" spans="2:10">
      <c r="B895" s="25" t="str">
        <f ca="1">IFERROR(__xludf.DUMMYFUNCTION("""COMPUTED_VALUE"""),"MUNICIPALIDAD DISTRITAL")</f>
        <v>MUNICIPALIDAD DISTRITAL</v>
      </c>
      <c r="C895" s="25" t="str">
        <f ca="1">IFERROR(__xludf.DUMMYFUNCTION("""COMPUTED_VALUE"""),"MUNICIPALIDAD DISTRITAL DE MOYA")</f>
        <v>MUNICIPALIDAD DISTRITAL DE MOYA</v>
      </c>
      <c r="D895" s="25" t="str">
        <f ca="1">IFERROR(__xludf.DUMMYFUNCTION("""COMPUTED_VALUE"""),"JUNÍN")</f>
        <v>JUNÍN</v>
      </c>
      <c r="E895" s="25" t="str">
        <f ca="1">IFERROR(__xludf.DUMMYFUNCTION("""COMPUTED_VALUE"""),"HUANCAVELICA")</f>
        <v>HUANCAVELICA</v>
      </c>
      <c r="F895" s="25" t="str">
        <f ca="1">IFERROR(__xludf.DUMMYFUNCTION("""COMPUTED_VALUE"""),"HUANCAVELICA")</f>
        <v>HUANCAVELICA</v>
      </c>
      <c r="G895" s="25" t="str">
        <f ca="1">IFERROR(__xludf.DUMMYFUNCTION("""COMPUTED_VALUE"""),"MOYA")</f>
        <v>MOYA</v>
      </c>
      <c r="H895" s="25" t="str">
        <f ca="1">IFERROR(__xludf.DUMMYFUNCTION("""COMPUTED_VALUE"""),"RURAL")</f>
        <v>RURAL</v>
      </c>
      <c r="I895" s="25" t="str">
        <f ca="1">IFERROR(__xludf.DUMMYFUNCTION("""COMPUTED_VALUE"""),"Prioridad 4")</f>
        <v>Prioridad 4</v>
      </c>
      <c r="J895" s="43" t="s">
        <v>262</v>
      </c>
    </row>
    <row r="896" spans="2:10">
      <c r="B896" s="25" t="str">
        <f ca="1">IFERROR(__xludf.DUMMYFUNCTION("""COMPUTED_VALUE"""),"MUNICIPALIDAD DISTRITAL")</f>
        <v>MUNICIPALIDAD DISTRITAL</v>
      </c>
      <c r="C896" s="25" t="str">
        <f ca="1">IFERROR(__xludf.DUMMYFUNCTION("""COMPUTED_VALUE"""),"MUNICIPALIDAD DISTRITAL DE NUEVO OCCORO")</f>
        <v>MUNICIPALIDAD DISTRITAL DE NUEVO OCCORO</v>
      </c>
      <c r="D896" s="25" t="str">
        <f ca="1">IFERROR(__xludf.DUMMYFUNCTION("""COMPUTED_VALUE"""),"JUNÍN")</f>
        <v>JUNÍN</v>
      </c>
      <c r="E896" s="25" t="str">
        <f ca="1">IFERROR(__xludf.DUMMYFUNCTION("""COMPUTED_VALUE"""),"HUANCAVELICA")</f>
        <v>HUANCAVELICA</v>
      </c>
      <c r="F896" s="25" t="str">
        <f ca="1">IFERROR(__xludf.DUMMYFUNCTION("""COMPUTED_VALUE"""),"HUANCAVELICA")</f>
        <v>HUANCAVELICA</v>
      </c>
      <c r="G896" s="25" t="str">
        <f ca="1">IFERROR(__xludf.DUMMYFUNCTION("""COMPUTED_VALUE"""),"NUEVO OCCORO")</f>
        <v>NUEVO OCCORO</v>
      </c>
      <c r="H896" s="25" t="str">
        <f ca="1">IFERROR(__xludf.DUMMYFUNCTION("""COMPUTED_VALUE"""),"RURAL")</f>
        <v>RURAL</v>
      </c>
      <c r="I896" s="25" t="str">
        <f ca="1">IFERROR(__xludf.DUMMYFUNCTION("""COMPUTED_VALUE"""),"Prioridad 4")</f>
        <v>Prioridad 4</v>
      </c>
      <c r="J896" s="43" t="s">
        <v>262</v>
      </c>
    </row>
    <row r="897" spans="2:10">
      <c r="B897" s="25" t="str">
        <f ca="1">IFERROR(__xludf.DUMMYFUNCTION("""COMPUTED_VALUE"""),"MUNICIPALIDAD DISTRITAL")</f>
        <v>MUNICIPALIDAD DISTRITAL</v>
      </c>
      <c r="C897" s="25" t="str">
        <f ca="1">IFERROR(__xludf.DUMMYFUNCTION("""COMPUTED_VALUE"""),"MUNICIPALIDAD DISTRITAL DE PALCA EN HUANCAVELICA")</f>
        <v>MUNICIPALIDAD DISTRITAL DE PALCA EN HUANCAVELICA</v>
      </c>
      <c r="D897" s="25" t="str">
        <f ca="1">IFERROR(__xludf.DUMMYFUNCTION("""COMPUTED_VALUE"""),"JUNÍN")</f>
        <v>JUNÍN</v>
      </c>
      <c r="E897" s="25" t="str">
        <f ca="1">IFERROR(__xludf.DUMMYFUNCTION("""COMPUTED_VALUE"""),"HUANCAVELICA")</f>
        <v>HUANCAVELICA</v>
      </c>
      <c r="F897" s="25" t="str">
        <f ca="1">IFERROR(__xludf.DUMMYFUNCTION("""COMPUTED_VALUE"""),"HUANCAVELICA")</f>
        <v>HUANCAVELICA</v>
      </c>
      <c r="G897" s="25" t="str">
        <f ca="1">IFERROR(__xludf.DUMMYFUNCTION("""COMPUTED_VALUE"""),"PALCA")</f>
        <v>PALCA</v>
      </c>
      <c r="H897" s="25" t="str">
        <f ca="1">IFERROR(__xludf.DUMMYFUNCTION("""COMPUTED_VALUE"""),"RURAL")</f>
        <v>RURAL</v>
      </c>
      <c r="I897" s="25" t="str">
        <f ca="1">IFERROR(__xludf.DUMMYFUNCTION("""COMPUTED_VALUE"""),"Prioridad 3")</f>
        <v>Prioridad 3</v>
      </c>
      <c r="J897" s="43" t="s">
        <v>262</v>
      </c>
    </row>
    <row r="898" spans="2:10">
      <c r="B898" s="25" t="str">
        <f ca="1">IFERROR(__xludf.DUMMYFUNCTION("""COMPUTED_VALUE"""),"MUNICIPALIDAD DISTRITAL")</f>
        <v>MUNICIPALIDAD DISTRITAL</v>
      </c>
      <c r="C898" s="25" t="str">
        <f ca="1">IFERROR(__xludf.DUMMYFUNCTION("""COMPUTED_VALUE"""),"MUNICIPALIDAD DISTRITAL DE PILCHACA")</f>
        <v>MUNICIPALIDAD DISTRITAL DE PILCHACA</v>
      </c>
      <c r="D898" s="25" t="str">
        <f ca="1">IFERROR(__xludf.DUMMYFUNCTION("""COMPUTED_VALUE"""),"JUNÍN")</f>
        <v>JUNÍN</v>
      </c>
      <c r="E898" s="25" t="str">
        <f ca="1">IFERROR(__xludf.DUMMYFUNCTION("""COMPUTED_VALUE"""),"HUANCAVELICA")</f>
        <v>HUANCAVELICA</v>
      </c>
      <c r="F898" s="25" t="str">
        <f ca="1">IFERROR(__xludf.DUMMYFUNCTION("""COMPUTED_VALUE"""),"HUANCAVELICA")</f>
        <v>HUANCAVELICA</v>
      </c>
      <c r="G898" s="25" t="str">
        <f ca="1">IFERROR(__xludf.DUMMYFUNCTION("""COMPUTED_VALUE"""),"PILCHACA")</f>
        <v>PILCHACA</v>
      </c>
      <c r="H898" s="25" t="str">
        <f ca="1">IFERROR(__xludf.DUMMYFUNCTION("""COMPUTED_VALUE"""),"RURAL")</f>
        <v>RURAL</v>
      </c>
      <c r="I898" s="25" t="str">
        <f ca="1">IFERROR(__xludf.DUMMYFUNCTION("""COMPUTED_VALUE"""),"Prioridad 5")</f>
        <v>Prioridad 5</v>
      </c>
      <c r="J898" s="43" t="s">
        <v>262</v>
      </c>
    </row>
    <row r="899" spans="2:10">
      <c r="B899" s="25" t="str">
        <f ca="1">IFERROR(__xludf.DUMMYFUNCTION("""COMPUTED_VALUE"""),"MUNICIPALIDAD DISTRITAL")</f>
        <v>MUNICIPALIDAD DISTRITAL</v>
      </c>
      <c r="C899" s="25" t="str">
        <f ca="1">IFERROR(__xludf.DUMMYFUNCTION("""COMPUTED_VALUE"""),"MUNICIPALIDAD DISTRITAL DE VILCA")</f>
        <v>MUNICIPALIDAD DISTRITAL DE VILCA</v>
      </c>
      <c r="D899" s="25" t="str">
        <f ca="1">IFERROR(__xludf.DUMMYFUNCTION("""COMPUTED_VALUE"""),"JUNÍN")</f>
        <v>JUNÍN</v>
      </c>
      <c r="E899" s="25" t="str">
        <f ca="1">IFERROR(__xludf.DUMMYFUNCTION("""COMPUTED_VALUE"""),"HUANCAVELICA")</f>
        <v>HUANCAVELICA</v>
      </c>
      <c r="F899" s="25" t="str">
        <f ca="1">IFERROR(__xludf.DUMMYFUNCTION("""COMPUTED_VALUE"""),"HUANCAVELICA")</f>
        <v>HUANCAVELICA</v>
      </c>
      <c r="G899" s="25" t="str">
        <f ca="1">IFERROR(__xludf.DUMMYFUNCTION("""COMPUTED_VALUE"""),"VILCA")</f>
        <v>VILCA</v>
      </c>
      <c r="H899" s="25" t="str">
        <f ca="1">IFERROR(__xludf.DUMMYFUNCTION("""COMPUTED_VALUE"""),"RURAL")</f>
        <v>RURAL</v>
      </c>
      <c r="I899" s="25" t="str">
        <f ca="1">IFERROR(__xludf.DUMMYFUNCTION("""COMPUTED_VALUE"""),"Prioridad 5")</f>
        <v>Prioridad 5</v>
      </c>
      <c r="J899" s="43" t="s">
        <v>262</v>
      </c>
    </row>
    <row r="900" spans="2:10">
      <c r="B900" s="25" t="str">
        <f ca="1">IFERROR(__xludf.DUMMYFUNCTION("""COMPUTED_VALUE"""),"MUNICIPALIDAD DISTRITAL")</f>
        <v>MUNICIPALIDAD DISTRITAL</v>
      </c>
      <c r="C900" s="25" t="str">
        <f ca="1">IFERROR(__xludf.DUMMYFUNCTION("""COMPUTED_VALUE"""),"MUNICIPALIDAD DISTRITAL DE YAULI EN HUANCAVELICA")</f>
        <v>MUNICIPALIDAD DISTRITAL DE YAULI EN HUANCAVELICA</v>
      </c>
      <c r="D900" s="25" t="str">
        <f ca="1">IFERROR(__xludf.DUMMYFUNCTION("""COMPUTED_VALUE"""),"JUNÍN")</f>
        <v>JUNÍN</v>
      </c>
      <c r="E900" s="25" t="str">
        <f ca="1">IFERROR(__xludf.DUMMYFUNCTION("""COMPUTED_VALUE"""),"HUANCAVELICA")</f>
        <v>HUANCAVELICA</v>
      </c>
      <c r="F900" s="25" t="str">
        <f ca="1">IFERROR(__xludf.DUMMYFUNCTION("""COMPUTED_VALUE"""),"HUANCAVELICA")</f>
        <v>HUANCAVELICA</v>
      </c>
      <c r="G900" s="25" t="str">
        <f ca="1">IFERROR(__xludf.DUMMYFUNCTION("""COMPUTED_VALUE"""),"YAULI")</f>
        <v>YAULI</v>
      </c>
      <c r="H900" s="25" t="str">
        <f ca="1">IFERROR(__xludf.DUMMYFUNCTION("""COMPUTED_VALUE"""),"RURAL")</f>
        <v>RURAL</v>
      </c>
      <c r="I900" s="25" t="str">
        <f ca="1">IFERROR(__xludf.DUMMYFUNCTION("""COMPUTED_VALUE"""),"Prioridad 4")</f>
        <v>Prioridad 4</v>
      </c>
      <c r="J900" s="43" t="s">
        <v>262</v>
      </c>
    </row>
    <row r="901" spans="2:10">
      <c r="B901" s="25" t="str">
        <f ca="1">IFERROR(__xludf.DUMMYFUNCTION("""COMPUTED_VALUE"""),"GOBIERNO REGIONAL")</f>
        <v>GOBIERNO REGIONAL</v>
      </c>
      <c r="C901" s="25" t="str">
        <f ca="1">IFERROR(__xludf.DUMMYFUNCTION("""COMPUTED_VALUE"""),"GOBIERNO REGIONAL DE HUANCAVELICA")</f>
        <v>GOBIERNO REGIONAL DE HUANCAVELICA</v>
      </c>
      <c r="D901" s="25" t="str">
        <f ca="1">IFERROR(__xludf.DUMMYFUNCTION("""COMPUTED_VALUE"""),"JUNÍN")</f>
        <v>JUNÍN</v>
      </c>
      <c r="E901" s="25" t="str">
        <f ca="1">IFERROR(__xludf.DUMMYFUNCTION("""COMPUTED_VALUE"""),"HUANCAVELICA")</f>
        <v>HUANCAVELICA</v>
      </c>
      <c r="F901" s="25" t="str">
        <f ca="1">IFERROR(__xludf.DUMMYFUNCTION("""COMPUTED_VALUE"""),"HUANCAVELICA")</f>
        <v>HUANCAVELICA</v>
      </c>
      <c r="G901" s="25" t="str">
        <f ca="1">IFERROR(__xludf.DUMMYFUNCTION("""COMPUTED_VALUE"""),"HUANCAVELICA")</f>
        <v>HUANCAVELICA</v>
      </c>
      <c r="H901" s="25" t="str">
        <f ca="1">IFERROR(__xludf.DUMMYFUNCTION("""COMPUTED_VALUE"""),"URBANO")</f>
        <v>URBANO</v>
      </c>
      <c r="I901" s="25" t="str">
        <f ca="1">IFERROR(__xludf.DUMMYFUNCTION("""COMPUTED_VALUE"""),"Prioridad 1")</f>
        <v>Prioridad 1</v>
      </c>
      <c r="J901" s="43" t="s">
        <v>262</v>
      </c>
    </row>
    <row r="902" spans="2:10">
      <c r="B902" s="25" t="str">
        <f ca="1">IFERROR(__xludf.DUMMYFUNCTION("""COMPUTED_VALUE"""),"MUNICIPALIDAD PROVINCIAL")</f>
        <v>MUNICIPALIDAD PROVINCIAL</v>
      </c>
      <c r="C902" s="25" t="str">
        <f ca="1">IFERROR(__xludf.DUMMYFUNCTION("""COMPUTED_VALUE"""),"MUNICIPALIDAD PROVINCIAL DE HUAYTARA")</f>
        <v>MUNICIPALIDAD PROVINCIAL DE HUAYTARA</v>
      </c>
      <c r="D902" s="25" t="str">
        <f ca="1">IFERROR(__xludf.DUMMYFUNCTION("""COMPUTED_VALUE"""),"ICA")</f>
        <v>ICA</v>
      </c>
      <c r="E902" s="25" t="str">
        <f ca="1">IFERROR(__xludf.DUMMYFUNCTION("""COMPUTED_VALUE"""),"HUANCAVELICA")</f>
        <v>HUANCAVELICA</v>
      </c>
      <c r="F902" s="25" t="str">
        <f ca="1">IFERROR(__xludf.DUMMYFUNCTION("""COMPUTED_VALUE"""),"HUAYTARA")</f>
        <v>HUAYTARA</v>
      </c>
      <c r="G902" s="25" t="str">
        <f ca="1">IFERROR(__xludf.DUMMYFUNCTION("""COMPUTED_VALUE"""),"HUAYTARA")</f>
        <v>HUAYTARA</v>
      </c>
      <c r="H902" s="25" t="str">
        <f ca="1">IFERROR(__xludf.DUMMYFUNCTION("""COMPUTED_VALUE"""),"RURAL")</f>
        <v>RURAL</v>
      </c>
      <c r="I902" s="25" t="str">
        <f ca="1">IFERROR(__xludf.DUMMYFUNCTION("""COMPUTED_VALUE"""),"Prioridad 1")</f>
        <v>Prioridad 1</v>
      </c>
      <c r="J902" s="43" t="s">
        <v>262</v>
      </c>
    </row>
    <row r="903" spans="2:10">
      <c r="B903" s="25" t="str">
        <f ca="1">IFERROR(__xludf.DUMMYFUNCTION("""COMPUTED_VALUE"""),"MUNICIPALIDAD DISTRITAL")</f>
        <v>MUNICIPALIDAD DISTRITAL</v>
      </c>
      <c r="C903" s="25" t="str">
        <f ca="1">IFERROR(__xludf.DUMMYFUNCTION("""COMPUTED_VALUE"""),"MUNICIPALIDAD DISTRITAL DE AYAVI")</f>
        <v>MUNICIPALIDAD DISTRITAL DE AYAVI</v>
      </c>
      <c r="D903" s="25" t="str">
        <f ca="1">IFERROR(__xludf.DUMMYFUNCTION("""COMPUTED_VALUE"""),"ICA")</f>
        <v>ICA</v>
      </c>
      <c r="E903" s="25" t="str">
        <f ca="1">IFERROR(__xludf.DUMMYFUNCTION("""COMPUTED_VALUE"""),"HUANCAVELICA")</f>
        <v>HUANCAVELICA</v>
      </c>
      <c r="F903" s="25" t="str">
        <f ca="1">IFERROR(__xludf.DUMMYFUNCTION("""COMPUTED_VALUE"""),"HUAYTARA")</f>
        <v>HUAYTARA</v>
      </c>
      <c r="G903" s="25" t="str">
        <f ca="1">IFERROR(__xludf.DUMMYFUNCTION("""COMPUTED_VALUE"""),"AYAVI")</f>
        <v>AYAVI</v>
      </c>
      <c r="H903" s="25" t="str">
        <f ca="1">IFERROR(__xludf.DUMMYFUNCTION("""COMPUTED_VALUE"""),"RURAL")</f>
        <v>RURAL</v>
      </c>
      <c r="I903" s="25" t="str">
        <f ca="1">IFERROR(__xludf.DUMMYFUNCTION("""COMPUTED_VALUE"""),"Prioridad 4")</f>
        <v>Prioridad 4</v>
      </c>
      <c r="J903" s="43" t="s">
        <v>262</v>
      </c>
    </row>
    <row r="904" spans="2:10">
      <c r="B904" s="25" t="str">
        <f ca="1">IFERROR(__xludf.DUMMYFUNCTION("""COMPUTED_VALUE"""),"MUNICIPALIDAD DISTRITAL")</f>
        <v>MUNICIPALIDAD DISTRITAL</v>
      </c>
      <c r="C904" s="25" t="str">
        <f ca="1">IFERROR(__xludf.DUMMYFUNCTION("""COMPUTED_VALUE"""),"MUNICIPALIDAD DISTRITAL DE CORDOVA")</f>
        <v>MUNICIPALIDAD DISTRITAL DE CORDOVA</v>
      </c>
      <c r="D904" s="25" t="str">
        <f ca="1">IFERROR(__xludf.DUMMYFUNCTION("""COMPUTED_VALUE"""),"ICA")</f>
        <v>ICA</v>
      </c>
      <c r="E904" s="25" t="str">
        <f ca="1">IFERROR(__xludf.DUMMYFUNCTION("""COMPUTED_VALUE"""),"HUANCAVELICA")</f>
        <v>HUANCAVELICA</v>
      </c>
      <c r="F904" s="25" t="str">
        <f ca="1">IFERROR(__xludf.DUMMYFUNCTION("""COMPUTED_VALUE"""),"HUAYTARA")</f>
        <v>HUAYTARA</v>
      </c>
      <c r="G904" s="25" t="str">
        <f ca="1">IFERROR(__xludf.DUMMYFUNCTION("""COMPUTED_VALUE"""),"CORDOVA")</f>
        <v>CORDOVA</v>
      </c>
      <c r="H904" s="25" t="str">
        <f ca="1">IFERROR(__xludf.DUMMYFUNCTION("""COMPUTED_VALUE"""),"RURAL")</f>
        <v>RURAL</v>
      </c>
      <c r="I904" s="25" t="str">
        <f ca="1">IFERROR(__xludf.DUMMYFUNCTION("""COMPUTED_VALUE"""),"Prioridad 5")</f>
        <v>Prioridad 5</v>
      </c>
      <c r="J904" s="43" t="s">
        <v>262</v>
      </c>
    </row>
    <row r="905" spans="2:10">
      <c r="B905" s="25" t="str">
        <f ca="1">IFERROR(__xludf.DUMMYFUNCTION("""COMPUTED_VALUE"""),"MUNICIPALIDAD DISTRITAL")</f>
        <v>MUNICIPALIDAD DISTRITAL</v>
      </c>
      <c r="C905" s="25" t="str">
        <f ca="1">IFERROR(__xludf.DUMMYFUNCTION("""COMPUTED_VALUE"""),"MUNICIPALIDAD DISTRITAL DE HUAYACUNDO ARMA")</f>
        <v>MUNICIPALIDAD DISTRITAL DE HUAYACUNDO ARMA</v>
      </c>
      <c r="D905" s="25" t="str">
        <f ca="1">IFERROR(__xludf.DUMMYFUNCTION("""COMPUTED_VALUE"""),"ICA")</f>
        <v>ICA</v>
      </c>
      <c r="E905" s="25" t="str">
        <f ca="1">IFERROR(__xludf.DUMMYFUNCTION("""COMPUTED_VALUE"""),"HUANCAVELICA")</f>
        <v>HUANCAVELICA</v>
      </c>
      <c r="F905" s="25" t="str">
        <f ca="1">IFERROR(__xludf.DUMMYFUNCTION("""COMPUTED_VALUE"""),"HUAYTARA")</f>
        <v>HUAYTARA</v>
      </c>
      <c r="G905" s="25" t="str">
        <f ca="1">IFERROR(__xludf.DUMMYFUNCTION("""COMPUTED_VALUE"""),"HUAYACUNDO ARMA")</f>
        <v>HUAYACUNDO ARMA</v>
      </c>
      <c r="H905" s="25" t="str">
        <f ca="1">IFERROR(__xludf.DUMMYFUNCTION("""COMPUTED_VALUE"""),"RURAL")</f>
        <v>RURAL</v>
      </c>
      <c r="I905" s="25" t="str">
        <f ca="1">IFERROR(__xludf.DUMMYFUNCTION("""COMPUTED_VALUE"""),"Prioridad 5")</f>
        <v>Prioridad 5</v>
      </c>
      <c r="J905" s="43" t="s">
        <v>262</v>
      </c>
    </row>
    <row r="906" spans="2:10">
      <c r="B906" s="25" t="str">
        <f ca="1">IFERROR(__xludf.DUMMYFUNCTION("""COMPUTED_VALUE"""),"MUNICIPALIDAD DISTRITAL")</f>
        <v>MUNICIPALIDAD DISTRITAL</v>
      </c>
      <c r="C906" s="25" t="str">
        <f ca="1">IFERROR(__xludf.DUMMYFUNCTION("""COMPUTED_VALUE"""),"MUNICIPALIDAD DISTRITAL DE LARAMARCA")</f>
        <v>MUNICIPALIDAD DISTRITAL DE LARAMARCA</v>
      </c>
      <c r="D906" s="25" t="str">
        <f ca="1">IFERROR(__xludf.DUMMYFUNCTION("""COMPUTED_VALUE"""),"ICA")</f>
        <v>ICA</v>
      </c>
      <c r="E906" s="25" t="str">
        <f ca="1">IFERROR(__xludf.DUMMYFUNCTION("""COMPUTED_VALUE"""),"HUANCAVELICA")</f>
        <v>HUANCAVELICA</v>
      </c>
      <c r="F906" s="25" t="str">
        <f ca="1">IFERROR(__xludf.DUMMYFUNCTION("""COMPUTED_VALUE"""),"HUAYTARA")</f>
        <v>HUAYTARA</v>
      </c>
      <c r="G906" s="25" t="str">
        <f ca="1">IFERROR(__xludf.DUMMYFUNCTION("""COMPUTED_VALUE"""),"LARAMARCA")</f>
        <v>LARAMARCA</v>
      </c>
      <c r="H906" s="25" t="str">
        <f ca="1">IFERROR(__xludf.DUMMYFUNCTION("""COMPUTED_VALUE"""),"RURAL")</f>
        <v>RURAL</v>
      </c>
      <c r="I906" s="25" t="str">
        <f ca="1">IFERROR(__xludf.DUMMYFUNCTION("""COMPUTED_VALUE"""),"Prioridad 4")</f>
        <v>Prioridad 4</v>
      </c>
      <c r="J906" s="43" t="s">
        <v>262</v>
      </c>
    </row>
    <row r="907" spans="2:10">
      <c r="B907" s="25" t="str">
        <f ca="1">IFERROR(__xludf.DUMMYFUNCTION("""COMPUTED_VALUE"""),"MUNICIPALIDAD DISTRITAL")</f>
        <v>MUNICIPALIDAD DISTRITAL</v>
      </c>
      <c r="C907" s="25" t="str">
        <f ca="1">IFERROR(__xludf.DUMMYFUNCTION("""COMPUTED_VALUE"""),"MUNICIPALIDAD DISTRITAL DE OCOYO")</f>
        <v>MUNICIPALIDAD DISTRITAL DE OCOYO</v>
      </c>
      <c r="D907" s="25" t="str">
        <f ca="1">IFERROR(__xludf.DUMMYFUNCTION("""COMPUTED_VALUE"""),"ICA")</f>
        <v>ICA</v>
      </c>
      <c r="E907" s="25" t="str">
        <f ca="1">IFERROR(__xludf.DUMMYFUNCTION("""COMPUTED_VALUE"""),"HUANCAVELICA")</f>
        <v>HUANCAVELICA</v>
      </c>
      <c r="F907" s="25" t="str">
        <f ca="1">IFERROR(__xludf.DUMMYFUNCTION("""COMPUTED_VALUE"""),"HUAYTARA")</f>
        <v>HUAYTARA</v>
      </c>
      <c r="G907" s="25" t="str">
        <f ca="1">IFERROR(__xludf.DUMMYFUNCTION("""COMPUTED_VALUE"""),"OCOYO")</f>
        <v>OCOYO</v>
      </c>
      <c r="H907" s="25" t="str">
        <f ca="1">IFERROR(__xludf.DUMMYFUNCTION("""COMPUTED_VALUE"""),"RURAL")</f>
        <v>RURAL</v>
      </c>
      <c r="I907" s="25" t="str">
        <f ca="1">IFERROR(__xludf.DUMMYFUNCTION("""COMPUTED_VALUE"""),"Prioridad 5")</f>
        <v>Prioridad 5</v>
      </c>
      <c r="J907" s="43" t="s">
        <v>262</v>
      </c>
    </row>
    <row r="908" spans="2:10">
      <c r="B908" s="25" t="str">
        <f ca="1">IFERROR(__xludf.DUMMYFUNCTION("""COMPUTED_VALUE"""),"MUNICIPALIDAD DISTRITAL")</f>
        <v>MUNICIPALIDAD DISTRITAL</v>
      </c>
      <c r="C908" s="25" t="str">
        <f ca="1">IFERROR(__xludf.DUMMYFUNCTION("""COMPUTED_VALUE"""),"MUNICIPALIDAD DISTRITAL DE PILPICHACA")</f>
        <v>MUNICIPALIDAD DISTRITAL DE PILPICHACA</v>
      </c>
      <c r="D908" s="25" t="str">
        <f ca="1">IFERROR(__xludf.DUMMYFUNCTION("""COMPUTED_VALUE"""),"ICA")</f>
        <v>ICA</v>
      </c>
      <c r="E908" s="25" t="str">
        <f ca="1">IFERROR(__xludf.DUMMYFUNCTION("""COMPUTED_VALUE"""),"HUANCAVELICA")</f>
        <v>HUANCAVELICA</v>
      </c>
      <c r="F908" s="25" t="str">
        <f ca="1">IFERROR(__xludf.DUMMYFUNCTION("""COMPUTED_VALUE"""),"HUAYTARA")</f>
        <v>HUAYTARA</v>
      </c>
      <c r="G908" s="25" t="str">
        <f ca="1">IFERROR(__xludf.DUMMYFUNCTION("""COMPUTED_VALUE"""),"PILPICHACA")</f>
        <v>PILPICHACA</v>
      </c>
      <c r="H908" s="25" t="str">
        <f ca="1">IFERROR(__xludf.DUMMYFUNCTION("""COMPUTED_VALUE"""),"RURAL")</f>
        <v>RURAL</v>
      </c>
      <c r="I908" s="25" t="str">
        <f ca="1">IFERROR(__xludf.DUMMYFUNCTION("""COMPUTED_VALUE"""),"Prioridad 3")</f>
        <v>Prioridad 3</v>
      </c>
      <c r="J908" s="43" t="s">
        <v>262</v>
      </c>
    </row>
    <row r="909" spans="2:10">
      <c r="B909" s="25" t="str">
        <f ca="1">IFERROR(__xludf.DUMMYFUNCTION("""COMPUTED_VALUE"""),"MUNICIPALIDAD DISTRITAL")</f>
        <v>MUNICIPALIDAD DISTRITAL</v>
      </c>
      <c r="C909" s="25" t="str">
        <f ca="1">IFERROR(__xludf.DUMMYFUNCTION("""COMPUTED_VALUE"""),"MUNICIPALIDAD DISTRITAL DE QUERCO")</f>
        <v>MUNICIPALIDAD DISTRITAL DE QUERCO</v>
      </c>
      <c r="D909" s="25" t="str">
        <f ca="1">IFERROR(__xludf.DUMMYFUNCTION("""COMPUTED_VALUE"""),"ICA")</f>
        <v>ICA</v>
      </c>
      <c r="E909" s="25" t="str">
        <f ca="1">IFERROR(__xludf.DUMMYFUNCTION("""COMPUTED_VALUE"""),"HUANCAVELICA")</f>
        <v>HUANCAVELICA</v>
      </c>
      <c r="F909" s="25" t="str">
        <f ca="1">IFERROR(__xludf.DUMMYFUNCTION("""COMPUTED_VALUE"""),"HUAYTARA")</f>
        <v>HUAYTARA</v>
      </c>
      <c r="G909" s="25" t="str">
        <f ca="1">IFERROR(__xludf.DUMMYFUNCTION("""COMPUTED_VALUE"""),"QUERCO")</f>
        <v>QUERCO</v>
      </c>
      <c r="H909" s="25" t="str">
        <f ca="1">IFERROR(__xludf.DUMMYFUNCTION("""COMPUTED_VALUE"""),"RURAL")</f>
        <v>RURAL</v>
      </c>
      <c r="I909" s="25" t="str">
        <f ca="1">IFERROR(__xludf.DUMMYFUNCTION("""COMPUTED_VALUE"""),"Prioridad 5")</f>
        <v>Prioridad 5</v>
      </c>
      <c r="J909" s="43" t="s">
        <v>262</v>
      </c>
    </row>
    <row r="910" spans="2:10">
      <c r="B910" s="25" t="str">
        <f ca="1">IFERROR(__xludf.DUMMYFUNCTION("""COMPUTED_VALUE"""),"MUNICIPALIDAD DISTRITAL")</f>
        <v>MUNICIPALIDAD DISTRITAL</v>
      </c>
      <c r="C910" s="25" t="str">
        <f ca="1">IFERROR(__xludf.DUMMYFUNCTION("""COMPUTED_VALUE"""),"MUNICIPALIDAD DISTRITAL DE QUITO-ARMA")</f>
        <v>MUNICIPALIDAD DISTRITAL DE QUITO-ARMA</v>
      </c>
      <c r="D910" s="25" t="str">
        <f ca="1">IFERROR(__xludf.DUMMYFUNCTION("""COMPUTED_VALUE"""),"ICA")</f>
        <v>ICA</v>
      </c>
      <c r="E910" s="25" t="str">
        <f ca="1">IFERROR(__xludf.DUMMYFUNCTION("""COMPUTED_VALUE"""),"HUANCAVELICA")</f>
        <v>HUANCAVELICA</v>
      </c>
      <c r="F910" s="25" t="str">
        <f ca="1">IFERROR(__xludf.DUMMYFUNCTION("""COMPUTED_VALUE"""),"HUAYTARA")</f>
        <v>HUAYTARA</v>
      </c>
      <c r="G910" s="25" t="str">
        <f ca="1">IFERROR(__xludf.DUMMYFUNCTION("""COMPUTED_VALUE"""),"QUITO ARMA")</f>
        <v>QUITO ARMA</v>
      </c>
      <c r="H910" s="25" t="str">
        <f ca="1">IFERROR(__xludf.DUMMYFUNCTION("""COMPUTED_VALUE"""),"RURAL")</f>
        <v>RURAL</v>
      </c>
      <c r="I910" s="25" t="str">
        <f ca="1">IFERROR(__xludf.DUMMYFUNCTION("""COMPUTED_VALUE"""),"Prioridad 5")</f>
        <v>Prioridad 5</v>
      </c>
      <c r="J910" s="43" t="s">
        <v>262</v>
      </c>
    </row>
    <row r="911" spans="2:10">
      <c r="B911" s="25" t="str">
        <f ca="1">IFERROR(__xludf.DUMMYFUNCTION("""COMPUTED_VALUE"""),"MUNICIPALIDAD DISTRITAL")</f>
        <v>MUNICIPALIDAD DISTRITAL</v>
      </c>
      <c r="C911" s="25" t="str">
        <f ca="1">IFERROR(__xludf.DUMMYFUNCTION("""COMPUTED_VALUE"""),"MUNICIPALIDAD DISTRITAL DE SAN ANTONIO DE CUSICANCHA")</f>
        <v>MUNICIPALIDAD DISTRITAL DE SAN ANTONIO DE CUSICANCHA</v>
      </c>
      <c r="D911" s="25" t="str">
        <f ca="1">IFERROR(__xludf.DUMMYFUNCTION("""COMPUTED_VALUE"""),"ICA")</f>
        <v>ICA</v>
      </c>
      <c r="E911" s="25" t="str">
        <f ca="1">IFERROR(__xludf.DUMMYFUNCTION("""COMPUTED_VALUE"""),"HUANCAVELICA")</f>
        <v>HUANCAVELICA</v>
      </c>
      <c r="F911" s="25" t="str">
        <f ca="1">IFERROR(__xludf.DUMMYFUNCTION("""COMPUTED_VALUE"""),"HUAYTARA")</f>
        <v>HUAYTARA</v>
      </c>
      <c r="G911" s="25" t="str">
        <f ca="1">IFERROR(__xludf.DUMMYFUNCTION("""COMPUTED_VALUE"""),"SAN ANTONIO DE CUSICANCHA")</f>
        <v>SAN ANTONIO DE CUSICANCHA</v>
      </c>
      <c r="H911" s="25" t="str">
        <f ca="1">IFERROR(__xludf.DUMMYFUNCTION("""COMPUTED_VALUE"""),"RURAL")</f>
        <v>RURAL</v>
      </c>
      <c r="I911" s="25" t="str">
        <f ca="1">IFERROR(__xludf.DUMMYFUNCTION("""COMPUTED_VALUE"""),"Prioridad 5")</f>
        <v>Prioridad 5</v>
      </c>
      <c r="J911" s="43" t="s">
        <v>262</v>
      </c>
    </row>
    <row r="912" spans="2:10">
      <c r="B912" s="25" t="str">
        <f ca="1">IFERROR(__xludf.DUMMYFUNCTION("""COMPUTED_VALUE"""),"MUNICIPALIDAD DISTRITAL")</f>
        <v>MUNICIPALIDAD DISTRITAL</v>
      </c>
      <c r="C912" s="25" t="str">
        <f ca="1">IFERROR(__xludf.DUMMYFUNCTION("""COMPUTED_VALUE"""),"MUNICIPALIDAD DISTRITAL DE SAN FRANCISCO DE SANGAYAICO")</f>
        <v>MUNICIPALIDAD DISTRITAL DE SAN FRANCISCO DE SANGAYAICO</v>
      </c>
      <c r="D912" s="25" t="str">
        <f ca="1">IFERROR(__xludf.DUMMYFUNCTION("""COMPUTED_VALUE"""),"ICA")</f>
        <v>ICA</v>
      </c>
      <c r="E912" s="25" t="str">
        <f ca="1">IFERROR(__xludf.DUMMYFUNCTION("""COMPUTED_VALUE"""),"HUANCAVELICA")</f>
        <v>HUANCAVELICA</v>
      </c>
      <c r="F912" s="25" t="str">
        <f ca="1">IFERROR(__xludf.DUMMYFUNCTION("""COMPUTED_VALUE"""),"HUAYTARA")</f>
        <v>HUAYTARA</v>
      </c>
      <c r="G912" s="25" t="str">
        <f ca="1">IFERROR(__xludf.DUMMYFUNCTION("""COMPUTED_VALUE"""),"SAN FRANCISCO DE SANGAYAICO")</f>
        <v>SAN FRANCISCO DE SANGAYAICO</v>
      </c>
      <c r="H912" s="25" t="str">
        <f ca="1">IFERROR(__xludf.DUMMYFUNCTION("""COMPUTED_VALUE"""),"RURAL")</f>
        <v>RURAL</v>
      </c>
      <c r="I912" s="25" t="str">
        <f ca="1">IFERROR(__xludf.DUMMYFUNCTION("""COMPUTED_VALUE"""),"Prioridad 5")</f>
        <v>Prioridad 5</v>
      </c>
      <c r="J912" s="43" t="s">
        <v>262</v>
      </c>
    </row>
    <row r="913" spans="2:10">
      <c r="B913" s="25" t="str">
        <f ca="1">IFERROR(__xludf.DUMMYFUNCTION("""COMPUTED_VALUE"""),"MUNICIPALIDAD DISTRITAL")</f>
        <v>MUNICIPALIDAD DISTRITAL</v>
      </c>
      <c r="C913" s="25" t="str">
        <f ca="1">IFERROR(__xludf.DUMMYFUNCTION("""COMPUTED_VALUE"""),"MUNICIPALIDAD DISTRITAL DE SAN ISIDRO EN HUAYTARA")</f>
        <v>MUNICIPALIDAD DISTRITAL DE SAN ISIDRO EN HUAYTARA</v>
      </c>
      <c r="D913" s="25" t="str">
        <f ca="1">IFERROR(__xludf.DUMMYFUNCTION("""COMPUTED_VALUE"""),"ICA")</f>
        <v>ICA</v>
      </c>
      <c r="E913" s="25" t="str">
        <f ca="1">IFERROR(__xludf.DUMMYFUNCTION("""COMPUTED_VALUE"""),"HUANCAVELICA")</f>
        <v>HUANCAVELICA</v>
      </c>
      <c r="F913" s="25" t="str">
        <f ca="1">IFERROR(__xludf.DUMMYFUNCTION("""COMPUTED_VALUE"""),"HUAYTARA")</f>
        <v>HUAYTARA</v>
      </c>
      <c r="G913" s="25" t="str">
        <f ca="1">IFERROR(__xludf.DUMMYFUNCTION("""COMPUTED_VALUE"""),"SAN ISIDRO")</f>
        <v>SAN ISIDRO</v>
      </c>
      <c r="H913" s="25" t="str">
        <f ca="1">IFERROR(__xludf.DUMMYFUNCTION("""COMPUTED_VALUE"""),"RURAL")</f>
        <v>RURAL</v>
      </c>
      <c r="I913" s="25" t="str">
        <f ca="1">IFERROR(__xludf.DUMMYFUNCTION("""COMPUTED_VALUE"""),"Prioridad 5")</f>
        <v>Prioridad 5</v>
      </c>
      <c r="J913" s="43" t="s">
        <v>262</v>
      </c>
    </row>
    <row r="914" spans="2:10">
      <c r="B914" s="25" t="str">
        <f ca="1">IFERROR(__xludf.DUMMYFUNCTION("""COMPUTED_VALUE"""),"MUNICIPALIDAD DISTRITAL")</f>
        <v>MUNICIPALIDAD DISTRITAL</v>
      </c>
      <c r="C914" s="25" t="str">
        <f ca="1">IFERROR(__xludf.DUMMYFUNCTION("""COMPUTED_VALUE"""),"MUNICIPALIDAD DISTRITAL DE SANTIAGO DE CHOCORVOS")</f>
        <v>MUNICIPALIDAD DISTRITAL DE SANTIAGO DE CHOCORVOS</v>
      </c>
      <c r="D914" s="25" t="str">
        <f ca="1">IFERROR(__xludf.DUMMYFUNCTION("""COMPUTED_VALUE"""),"ICA")</f>
        <v>ICA</v>
      </c>
      <c r="E914" s="25" t="str">
        <f ca="1">IFERROR(__xludf.DUMMYFUNCTION("""COMPUTED_VALUE"""),"HUANCAVELICA")</f>
        <v>HUANCAVELICA</v>
      </c>
      <c r="F914" s="25" t="str">
        <f ca="1">IFERROR(__xludf.DUMMYFUNCTION("""COMPUTED_VALUE"""),"HUAYTARA")</f>
        <v>HUAYTARA</v>
      </c>
      <c r="G914" s="25" t="str">
        <f ca="1">IFERROR(__xludf.DUMMYFUNCTION("""COMPUTED_VALUE"""),"SANTIAGO DE CHOCORVOS")</f>
        <v>SANTIAGO DE CHOCORVOS</v>
      </c>
      <c r="H914" s="25" t="str">
        <f ca="1">IFERROR(__xludf.DUMMYFUNCTION("""COMPUTED_VALUE"""),"RURAL")</f>
        <v>RURAL</v>
      </c>
      <c r="I914" s="25" t="str">
        <f ca="1">IFERROR(__xludf.DUMMYFUNCTION("""COMPUTED_VALUE"""),"Prioridad 5")</f>
        <v>Prioridad 5</v>
      </c>
      <c r="J914" s="43" t="s">
        <v>262</v>
      </c>
    </row>
    <row r="915" spans="2:10">
      <c r="B915" s="25" t="str">
        <f ca="1">IFERROR(__xludf.DUMMYFUNCTION("""COMPUTED_VALUE"""),"MUNICIPALIDAD DISTRITAL")</f>
        <v>MUNICIPALIDAD DISTRITAL</v>
      </c>
      <c r="C915" s="25" t="str">
        <f ca="1">IFERROR(__xludf.DUMMYFUNCTION("""COMPUTED_VALUE"""),"MUNICIPALIDAD DISTRITAL DE SANTIAGO DE QUIRAHUARA")</f>
        <v>MUNICIPALIDAD DISTRITAL DE SANTIAGO DE QUIRAHUARA</v>
      </c>
      <c r="D915" s="25" t="str">
        <f ca="1">IFERROR(__xludf.DUMMYFUNCTION("""COMPUTED_VALUE"""),"ICA")</f>
        <v>ICA</v>
      </c>
      <c r="E915" s="25" t="str">
        <f ca="1">IFERROR(__xludf.DUMMYFUNCTION("""COMPUTED_VALUE"""),"HUANCAVELICA")</f>
        <v>HUANCAVELICA</v>
      </c>
      <c r="F915" s="25" t="str">
        <f ca="1">IFERROR(__xludf.DUMMYFUNCTION("""COMPUTED_VALUE"""),"HUAYTARA")</f>
        <v>HUAYTARA</v>
      </c>
      <c r="G915" s="25" t="str">
        <f ca="1">IFERROR(__xludf.DUMMYFUNCTION("""COMPUTED_VALUE"""),"SANTIAGO DE QUIRAHUARA")</f>
        <v>SANTIAGO DE QUIRAHUARA</v>
      </c>
      <c r="H915" s="25" t="str">
        <f ca="1">IFERROR(__xludf.DUMMYFUNCTION("""COMPUTED_VALUE"""),"RURAL")</f>
        <v>RURAL</v>
      </c>
      <c r="I915" s="25" t="str">
        <f ca="1">IFERROR(__xludf.DUMMYFUNCTION("""COMPUTED_VALUE"""),"Prioridad 4")</f>
        <v>Prioridad 4</v>
      </c>
      <c r="J915" s="43" t="s">
        <v>262</v>
      </c>
    </row>
    <row r="916" spans="2:10">
      <c r="B916" s="25" t="str">
        <f ca="1">IFERROR(__xludf.DUMMYFUNCTION("""COMPUTED_VALUE"""),"MUNICIPALIDAD DISTRITAL")</f>
        <v>MUNICIPALIDAD DISTRITAL</v>
      </c>
      <c r="C916" s="25" t="str">
        <f ca="1">IFERROR(__xludf.DUMMYFUNCTION("""COMPUTED_VALUE"""),"MUNICIPALIDAD DISTRITAL DE SANTO DOMINGO DE CAPILLAS")</f>
        <v>MUNICIPALIDAD DISTRITAL DE SANTO DOMINGO DE CAPILLAS</v>
      </c>
      <c r="D916" s="25" t="str">
        <f ca="1">IFERROR(__xludf.DUMMYFUNCTION("""COMPUTED_VALUE"""),"ICA")</f>
        <v>ICA</v>
      </c>
      <c r="E916" s="25" t="str">
        <f ca="1">IFERROR(__xludf.DUMMYFUNCTION("""COMPUTED_VALUE"""),"HUANCAVELICA")</f>
        <v>HUANCAVELICA</v>
      </c>
      <c r="F916" s="25" t="str">
        <f ca="1">IFERROR(__xludf.DUMMYFUNCTION("""COMPUTED_VALUE"""),"HUAYTARA")</f>
        <v>HUAYTARA</v>
      </c>
      <c r="G916" s="25" t="str">
        <f ca="1">IFERROR(__xludf.DUMMYFUNCTION("""COMPUTED_VALUE"""),"SANTO DOMINGO DE CAPILLAS")</f>
        <v>SANTO DOMINGO DE CAPILLAS</v>
      </c>
      <c r="H916" s="25" t="str">
        <f ca="1">IFERROR(__xludf.DUMMYFUNCTION("""COMPUTED_VALUE"""),"RURAL")</f>
        <v>RURAL</v>
      </c>
      <c r="I916" s="25" t="str">
        <f ca="1">IFERROR(__xludf.DUMMYFUNCTION("""COMPUTED_VALUE"""),"Prioridad 5")</f>
        <v>Prioridad 5</v>
      </c>
      <c r="J916" s="43" t="s">
        <v>262</v>
      </c>
    </row>
    <row r="917" spans="2:10">
      <c r="B917" s="25" t="str">
        <f ca="1">IFERROR(__xludf.DUMMYFUNCTION("""COMPUTED_VALUE"""),"MUNICIPALIDAD DISTRITAL")</f>
        <v>MUNICIPALIDAD DISTRITAL</v>
      </c>
      <c r="C917" s="25" t="str">
        <f ca="1">IFERROR(__xludf.DUMMYFUNCTION("""COMPUTED_VALUE"""),"MUNICIPALIDAD DISTRITAL DE TAMBO EN HUAYTARA")</f>
        <v>MUNICIPALIDAD DISTRITAL DE TAMBO EN HUAYTARA</v>
      </c>
      <c r="D917" s="25" t="str">
        <f ca="1">IFERROR(__xludf.DUMMYFUNCTION("""COMPUTED_VALUE"""),"ICA")</f>
        <v>ICA</v>
      </c>
      <c r="E917" s="25" t="str">
        <f ca="1">IFERROR(__xludf.DUMMYFUNCTION("""COMPUTED_VALUE"""),"HUANCAVELICA")</f>
        <v>HUANCAVELICA</v>
      </c>
      <c r="F917" s="25" t="str">
        <f ca="1">IFERROR(__xludf.DUMMYFUNCTION("""COMPUTED_VALUE"""),"HUAYTARA")</f>
        <v>HUAYTARA</v>
      </c>
      <c r="G917" s="25" t="str">
        <f ca="1">IFERROR(__xludf.DUMMYFUNCTION("""COMPUTED_VALUE"""),"TAMBO")</f>
        <v>TAMBO</v>
      </c>
      <c r="H917" s="25" t="str">
        <f ca="1">IFERROR(__xludf.DUMMYFUNCTION("""COMPUTED_VALUE"""),"RURAL")</f>
        <v>RURAL</v>
      </c>
      <c r="I917" s="25" t="str">
        <f ca="1">IFERROR(__xludf.DUMMYFUNCTION("""COMPUTED_VALUE"""),"Prioridad 2")</f>
        <v>Prioridad 2</v>
      </c>
      <c r="J917" s="43" t="s">
        <v>262</v>
      </c>
    </row>
    <row r="918" spans="2:10">
      <c r="B918" s="25" t="str">
        <f ca="1">IFERROR(__xludf.DUMMYFUNCTION("""COMPUTED_VALUE"""),"MUNICIPALIDAD PROVINCIAL")</f>
        <v>MUNICIPALIDAD PROVINCIAL</v>
      </c>
      <c r="C918" s="25" t="str">
        <f ca="1">IFERROR(__xludf.DUMMYFUNCTION("""COMPUTED_VALUE"""),"MUNICIPALIDAD PROVINCIAL DE TAYACAJA")</f>
        <v>MUNICIPALIDAD PROVINCIAL DE TAYACAJA</v>
      </c>
      <c r="D918" s="25" t="str">
        <f ca="1">IFERROR(__xludf.DUMMYFUNCTION("""COMPUTED_VALUE"""),"JUNÍN")</f>
        <v>JUNÍN</v>
      </c>
      <c r="E918" s="25" t="str">
        <f ca="1">IFERROR(__xludf.DUMMYFUNCTION("""COMPUTED_VALUE"""),"HUANCAVELICA")</f>
        <v>HUANCAVELICA</v>
      </c>
      <c r="F918" s="25" t="str">
        <f ca="1">IFERROR(__xludf.DUMMYFUNCTION("""COMPUTED_VALUE"""),"TAYACAJA")</f>
        <v>TAYACAJA</v>
      </c>
      <c r="G918" s="25" t="str">
        <f ca="1">IFERROR(__xludf.DUMMYFUNCTION("""COMPUTED_VALUE"""),"PAMPAS")</f>
        <v>PAMPAS</v>
      </c>
      <c r="H918" s="25" t="str">
        <f ca="1">IFERROR(__xludf.DUMMYFUNCTION("""COMPUTED_VALUE"""),"URBANO")</f>
        <v>URBANO</v>
      </c>
      <c r="I918" s="25" t="str">
        <f ca="1">IFERROR(__xludf.DUMMYFUNCTION("""COMPUTED_VALUE"""),"Prioridad 1")</f>
        <v>Prioridad 1</v>
      </c>
      <c r="J918" s="43" t="s">
        <v>262</v>
      </c>
    </row>
    <row r="919" spans="2:10">
      <c r="B919" s="25" t="str">
        <f ca="1">IFERROR(__xludf.DUMMYFUNCTION("""COMPUTED_VALUE"""),"MUNICIPALIDAD DISTRITAL")</f>
        <v>MUNICIPALIDAD DISTRITAL</v>
      </c>
      <c r="C919" s="25" t="str">
        <f ca="1">IFERROR(__xludf.DUMMYFUNCTION("""COMPUTED_VALUE"""),"MUNICIPALIDAD DISTRITAL DE ACOSTAMBO")</f>
        <v>MUNICIPALIDAD DISTRITAL DE ACOSTAMBO</v>
      </c>
      <c r="D919" s="25" t="str">
        <f ca="1">IFERROR(__xludf.DUMMYFUNCTION("""COMPUTED_VALUE"""),"JUNÍN")</f>
        <v>JUNÍN</v>
      </c>
      <c r="E919" s="25" t="str">
        <f ca="1">IFERROR(__xludf.DUMMYFUNCTION("""COMPUTED_VALUE"""),"HUANCAVELICA")</f>
        <v>HUANCAVELICA</v>
      </c>
      <c r="F919" s="25" t="str">
        <f ca="1">IFERROR(__xludf.DUMMYFUNCTION("""COMPUTED_VALUE"""),"TAYACAJA")</f>
        <v>TAYACAJA</v>
      </c>
      <c r="G919" s="25" t="str">
        <f ca="1">IFERROR(__xludf.DUMMYFUNCTION("""COMPUTED_VALUE"""),"ACOSTAMBO")</f>
        <v>ACOSTAMBO</v>
      </c>
      <c r="H919" s="25" t="str">
        <f ca="1">IFERROR(__xludf.DUMMYFUNCTION("""COMPUTED_VALUE"""),"RURAL")</f>
        <v>RURAL</v>
      </c>
      <c r="I919" s="25" t="str">
        <f ca="1">IFERROR(__xludf.DUMMYFUNCTION("""COMPUTED_VALUE"""),"Prioridad 4")</f>
        <v>Prioridad 4</v>
      </c>
      <c r="J919" s="43" t="s">
        <v>264</v>
      </c>
    </row>
    <row r="920" spans="2:10">
      <c r="B920" s="25" t="str">
        <f ca="1">IFERROR(__xludf.DUMMYFUNCTION("""COMPUTED_VALUE"""),"MUNICIPALIDAD DISTRITAL")</f>
        <v>MUNICIPALIDAD DISTRITAL</v>
      </c>
      <c r="C920" s="25" t="str">
        <f ca="1">IFERROR(__xludf.DUMMYFUNCTION("""COMPUTED_VALUE"""),"MUNICIPALIDAD DISTRITAL DE ACRAQUIA")</f>
        <v>MUNICIPALIDAD DISTRITAL DE ACRAQUIA</v>
      </c>
      <c r="D920" s="25" t="str">
        <f ca="1">IFERROR(__xludf.DUMMYFUNCTION("""COMPUTED_VALUE"""),"JUNÍN")</f>
        <v>JUNÍN</v>
      </c>
      <c r="E920" s="25" t="str">
        <f ca="1">IFERROR(__xludf.DUMMYFUNCTION("""COMPUTED_VALUE"""),"HUANCAVELICA")</f>
        <v>HUANCAVELICA</v>
      </c>
      <c r="F920" s="25" t="str">
        <f ca="1">IFERROR(__xludf.DUMMYFUNCTION("""COMPUTED_VALUE"""),"TAYACAJA")</f>
        <v>TAYACAJA</v>
      </c>
      <c r="G920" s="25" t="str">
        <f ca="1">IFERROR(__xludf.DUMMYFUNCTION("""COMPUTED_VALUE"""),"ACRAQUIA")</f>
        <v>ACRAQUIA</v>
      </c>
      <c r="H920" s="25" t="str">
        <f ca="1">IFERROR(__xludf.DUMMYFUNCTION("""COMPUTED_VALUE"""),"RURAL")</f>
        <v>RURAL</v>
      </c>
      <c r="I920" s="25" t="str">
        <f ca="1">IFERROR(__xludf.DUMMYFUNCTION("""COMPUTED_VALUE"""),"Prioridad 5")</f>
        <v>Prioridad 5</v>
      </c>
      <c r="J920" s="43" t="s">
        <v>264</v>
      </c>
    </row>
    <row r="921" spans="2:10">
      <c r="B921" s="25" t="str">
        <f ca="1">IFERROR(__xludf.DUMMYFUNCTION("""COMPUTED_VALUE"""),"MUNICIPALIDAD DISTRITAL")</f>
        <v>MUNICIPALIDAD DISTRITAL</v>
      </c>
      <c r="C921" s="25" t="str">
        <f ca="1">IFERROR(__xludf.DUMMYFUNCTION("""COMPUTED_VALUE"""),"MUNICIPALIDAD DISTRITAL DE AHUAYCHA")</f>
        <v>MUNICIPALIDAD DISTRITAL DE AHUAYCHA</v>
      </c>
      <c r="D921" s="25" t="str">
        <f ca="1">IFERROR(__xludf.DUMMYFUNCTION("""COMPUTED_VALUE"""),"JUNÍN")</f>
        <v>JUNÍN</v>
      </c>
      <c r="E921" s="25" t="str">
        <f ca="1">IFERROR(__xludf.DUMMYFUNCTION("""COMPUTED_VALUE"""),"HUANCAVELICA")</f>
        <v>HUANCAVELICA</v>
      </c>
      <c r="F921" s="25" t="str">
        <f ca="1">IFERROR(__xludf.DUMMYFUNCTION("""COMPUTED_VALUE"""),"TAYACAJA")</f>
        <v>TAYACAJA</v>
      </c>
      <c r="G921" s="25" t="str">
        <f ca="1">IFERROR(__xludf.DUMMYFUNCTION("""COMPUTED_VALUE"""),"AHUAYCHA")</f>
        <v>AHUAYCHA</v>
      </c>
      <c r="H921" s="25" t="str">
        <f ca="1">IFERROR(__xludf.DUMMYFUNCTION("""COMPUTED_VALUE"""),"RURAL")</f>
        <v>RURAL</v>
      </c>
      <c r="I921" s="25" t="str">
        <f ca="1">IFERROR(__xludf.DUMMYFUNCTION("""COMPUTED_VALUE"""),"Prioridad 5")</f>
        <v>Prioridad 5</v>
      </c>
      <c r="J921" s="43" t="s">
        <v>264</v>
      </c>
    </row>
    <row r="922" spans="2:10">
      <c r="B922" s="25" t="str">
        <f ca="1">IFERROR(__xludf.DUMMYFUNCTION("""COMPUTED_VALUE"""),"MUNICIPALIDAD DISTRITAL")</f>
        <v>MUNICIPALIDAD DISTRITAL</v>
      </c>
      <c r="C922" s="25" t="str">
        <f ca="1">IFERROR(__xludf.DUMMYFUNCTION("""COMPUTED_VALUE"""),"MUNICIPALIDAD DISTRITAL DE ANDAYMARCA")</f>
        <v>MUNICIPALIDAD DISTRITAL DE ANDAYMARCA</v>
      </c>
      <c r="D922" s="25" t="str">
        <f ca="1">IFERROR(__xludf.DUMMYFUNCTION("""COMPUTED_VALUE"""),"JUNÍN")</f>
        <v>JUNÍN</v>
      </c>
      <c r="E922" s="25" t="str">
        <f ca="1">IFERROR(__xludf.DUMMYFUNCTION("""COMPUTED_VALUE"""),"HUANCAVELICA")</f>
        <v>HUANCAVELICA</v>
      </c>
      <c r="F922" s="25" t="str">
        <f ca="1">IFERROR(__xludf.DUMMYFUNCTION("""COMPUTED_VALUE"""),"TAYACAJA")</f>
        <v>TAYACAJA</v>
      </c>
      <c r="G922" s="25" t="str">
        <f ca="1">IFERROR(__xludf.DUMMYFUNCTION("""COMPUTED_VALUE"""),"ANDAYMARCA")</f>
        <v>ANDAYMARCA</v>
      </c>
      <c r="H922" s="25" t="str">
        <f ca="1">IFERROR(__xludf.DUMMYFUNCTION("""COMPUTED_VALUE"""),"RURAL")</f>
        <v>RURAL</v>
      </c>
      <c r="I922" s="25" t="str">
        <f ca="1">IFERROR(__xludf.DUMMYFUNCTION("""COMPUTED_VALUE"""),"Prioridad 4")</f>
        <v>Prioridad 4</v>
      </c>
      <c r="J922" s="43" t="s">
        <v>264</v>
      </c>
    </row>
    <row r="923" spans="2:10">
      <c r="B923" s="25" t="str">
        <f ca="1">IFERROR(__xludf.DUMMYFUNCTION("""COMPUTED_VALUE"""),"MUNICIPALIDAD DISTRITAL")</f>
        <v>MUNICIPALIDAD DISTRITAL</v>
      </c>
      <c r="C923" s="25" t="str">
        <f ca="1">IFERROR(__xludf.DUMMYFUNCTION("""COMPUTED_VALUE"""),"MUNICIPALIDAD DISTRITAL DE COLCABAMBA EN TAYACAJA")</f>
        <v>MUNICIPALIDAD DISTRITAL DE COLCABAMBA EN TAYACAJA</v>
      </c>
      <c r="D923" s="25" t="str">
        <f ca="1">IFERROR(__xludf.DUMMYFUNCTION("""COMPUTED_VALUE"""),"JUNÍN")</f>
        <v>JUNÍN</v>
      </c>
      <c r="E923" s="25" t="str">
        <f ca="1">IFERROR(__xludf.DUMMYFUNCTION("""COMPUTED_VALUE"""),"HUANCAVELICA")</f>
        <v>HUANCAVELICA</v>
      </c>
      <c r="F923" s="25" t="str">
        <f ca="1">IFERROR(__xludf.DUMMYFUNCTION("""COMPUTED_VALUE"""),"TAYACAJA")</f>
        <v>TAYACAJA</v>
      </c>
      <c r="G923" s="25" t="str">
        <f ca="1">IFERROR(__xludf.DUMMYFUNCTION("""COMPUTED_VALUE"""),"COLCABAMBA")</f>
        <v>COLCABAMBA</v>
      </c>
      <c r="H923" s="25" t="str">
        <f ca="1">IFERROR(__xludf.DUMMYFUNCTION("""COMPUTED_VALUE"""),"RURAL")</f>
        <v>RURAL</v>
      </c>
      <c r="I923" s="25" t="str">
        <f ca="1">IFERROR(__xludf.DUMMYFUNCTION("""COMPUTED_VALUE"""),"Prioridad 2")</f>
        <v>Prioridad 2</v>
      </c>
      <c r="J923" s="43" t="s">
        <v>264</v>
      </c>
    </row>
    <row r="924" spans="2:10">
      <c r="B924" s="25" t="str">
        <f ca="1">IFERROR(__xludf.DUMMYFUNCTION("""COMPUTED_VALUE"""),"MUNICIPALIDAD DISTRITAL")</f>
        <v>MUNICIPALIDAD DISTRITAL</v>
      </c>
      <c r="C924" s="25" t="str">
        <f ca="1">IFERROR(__xludf.DUMMYFUNCTION("""COMPUTED_VALUE"""),"MUNICIPALIDAD DISTRITAL DE DANIEL HERNANDEZ")</f>
        <v>MUNICIPALIDAD DISTRITAL DE DANIEL HERNANDEZ</v>
      </c>
      <c r="D924" s="25" t="str">
        <f ca="1">IFERROR(__xludf.DUMMYFUNCTION("""COMPUTED_VALUE"""),"JUNÍN")</f>
        <v>JUNÍN</v>
      </c>
      <c r="E924" s="25" t="str">
        <f ca="1">IFERROR(__xludf.DUMMYFUNCTION("""COMPUTED_VALUE"""),"HUANCAVELICA")</f>
        <v>HUANCAVELICA</v>
      </c>
      <c r="F924" s="25" t="str">
        <f ca="1">IFERROR(__xludf.DUMMYFUNCTION("""COMPUTED_VALUE"""),"TAYACAJA")</f>
        <v>TAYACAJA</v>
      </c>
      <c r="G924" s="25" t="str">
        <f ca="1">IFERROR(__xludf.DUMMYFUNCTION("""COMPUTED_VALUE"""),"DANIEL HERNANDEZ")</f>
        <v>DANIEL HERNANDEZ</v>
      </c>
      <c r="H924" s="25" t="str">
        <f ca="1">IFERROR(__xludf.DUMMYFUNCTION("""COMPUTED_VALUE"""),"RURAL")</f>
        <v>RURAL</v>
      </c>
      <c r="I924" s="25" t="str">
        <f ca="1">IFERROR(__xludf.DUMMYFUNCTION("""COMPUTED_VALUE"""),"Prioridad 2")</f>
        <v>Prioridad 2</v>
      </c>
      <c r="J924" s="43" t="s">
        <v>264</v>
      </c>
    </row>
    <row r="925" spans="2:10">
      <c r="B925" s="25" t="str">
        <f ca="1">IFERROR(__xludf.DUMMYFUNCTION("""COMPUTED_VALUE"""),"MUNICIPALIDAD DISTRITAL")</f>
        <v>MUNICIPALIDAD DISTRITAL</v>
      </c>
      <c r="C925" s="25" t="str">
        <f ca="1">IFERROR(__xludf.DUMMYFUNCTION("""COMPUTED_VALUE"""),"MUNICIPALIDAD DISTRITAL DE HUACHOCOLPA EN TAYACAJA")</f>
        <v>MUNICIPALIDAD DISTRITAL DE HUACHOCOLPA EN TAYACAJA</v>
      </c>
      <c r="D925" s="25" t="str">
        <f ca="1">IFERROR(__xludf.DUMMYFUNCTION("""COMPUTED_VALUE"""),"JUNÍN")</f>
        <v>JUNÍN</v>
      </c>
      <c r="E925" s="25" t="str">
        <f ca="1">IFERROR(__xludf.DUMMYFUNCTION("""COMPUTED_VALUE"""),"HUANCAVELICA")</f>
        <v>HUANCAVELICA</v>
      </c>
      <c r="F925" s="25" t="str">
        <f ca="1">IFERROR(__xludf.DUMMYFUNCTION("""COMPUTED_VALUE"""),"TAYACAJA")</f>
        <v>TAYACAJA</v>
      </c>
      <c r="G925" s="25" t="str">
        <f ca="1">IFERROR(__xludf.DUMMYFUNCTION("""COMPUTED_VALUE"""),"HUACHOCOLPA")</f>
        <v>HUACHOCOLPA</v>
      </c>
      <c r="H925" s="25" t="str">
        <f ca="1">IFERROR(__xludf.DUMMYFUNCTION("""COMPUTED_VALUE"""),"RURAL")</f>
        <v>RURAL</v>
      </c>
      <c r="I925" s="25" t="str">
        <f ca="1">IFERROR(__xludf.DUMMYFUNCTION("""COMPUTED_VALUE"""),"Prioridad 5")</f>
        <v>Prioridad 5</v>
      </c>
      <c r="J925" s="43" t="s">
        <v>264</v>
      </c>
    </row>
    <row r="926" spans="2:10">
      <c r="B926" s="25" t="str">
        <f ca="1">IFERROR(__xludf.DUMMYFUNCTION("""COMPUTED_VALUE"""),"MUNICIPALIDAD DISTRITAL")</f>
        <v>MUNICIPALIDAD DISTRITAL</v>
      </c>
      <c r="C926" s="25" t="str">
        <f ca="1">IFERROR(__xludf.DUMMYFUNCTION("""COMPUTED_VALUE"""),"MUNICIPALIDAD DISTRITAL DE HUARIBAMBA")</f>
        <v>MUNICIPALIDAD DISTRITAL DE HUARIBAMBA</v>
      </c>
      <c r="D926" s="25" t="str">
        <f ca="1">IFERROR(__xludf.DUMMYFUNCTION("""COMPUTED_VALUE"""),"JUNÍN")</f>
        <v>JUNÍN</v>
      </c>
      <c r="E926" s="25" t="str">
        <f ca="1">IFERROR(__xludf.DUMMYFUNCTION("""COMPUTED_VALUE"""),"HUANCAVELICA")</f>
        <v>HUANCAVELICA</v>
      </c>
      <c r="F926" s="25" t="str">
        <f ca="1">IFERROR(__xludf.DUMMYFUNCTION("""COMPUTED_VALUE"""),"TAYACAJA")</f>
        <v>TAYACAJA</v>
      </c>
      <c r="G926" s="25" t="str">
        <f ca="1">IFERROR(__xludf.DUMMYFUNCTION("""COMPUTED_VALUE"""),"HUARIBAMBA")</f>
        <v>HUARIBAMBA</v>
      </c>
      <c r="H926" s="25" t="str">
        <f ca="1">IFERROR(__xludf.DUMMYFUNCTION("""COMPUTED_VALUE"""),"RURAL")</f>
        <v>RURAL</v>
      </c>
      <c r="I926" s="25" t="str">
        <f ca="1">IFERROR(__xludf.DUMMYFUNCTION("""COMPUTED_VALUE"""),"Prioridad 4")</f>
        <v>Prioridad 4</v>
      </c>
      <c r="J926" s="43" t="s">
        <v>264</v>
      </c>
    </row>
    <row r="927" spans="2:10">
      <c r="B927" s="25" t="str">
        <f ca="1">IFERROR(__xludf.DUMMYFUNCTION("""COMPUTED_VALUE"""),"MUNICIPALIDAD DISTRITAL")</f>
        <v>MUNICIPALIDAD DISTRITAL</v>
      </c>
      <c r="C927" s="25" t="str">
        <f ca="1">IFERROR(__xludf.DUMMYFUNCTION("""COMPUTED_VALUE"""),"MUNICIPALIDAD DISTRITAL DE ÑAHUIMPUQUIO")</f>
        <v>MUNICIPALIDAD DISTRITAL DE ÑAHUIMPUQUIO</v>
      </c>
      <c r="D927" s="25" t="str">
        <f ca="1">IFERROR(__xludf.DUMMYFUNCTION("""COMPUTED_VALUE"""),"JUNÍN")</f>
        <v>JUNÍN</v>
      </c>
      <c r="E927" s="25" t="str">
        <f ca="1">IFERROR(__xludf.DUMMYFUNCTION("""COMPUTED_VALUE"""),"HUANCAVELICA")</f>
        <v>HUANCAVELICA</v>
      </c>
      <c r="F927" s="25" t="str">
        <f ca="1">IFERROR(__xludf.DUMMYFUNCTION("""COMPUTED_VALUE"""),"TAYACAJA")</f>
        <v>TAYACAJA</v>
      </c>
      <c r="G927" s="25" t="str">
        <f ca="1">IFERROR(__xludf.DUMMYFUNCTION("""COMPUTED_VALUE"""),"ÑAHUIMPUQUIO")</f>
        <v>ÑAHUIMPUQUIO</v>
      </c>
      <c r="H927" s="25" t="str">
        <f ca="1">IFERROR(__xludf.DUMMYFUNCTION("""COMPUTED_VALUE"""),"RURAL")</f>
        <v>RURAL</v>
      </c>
      <c r="I927" s="25" t="str">
        <f ca="1">IFERROR(__xludf.DUMMYFUNCTION("""COMPUTED_VALUE"""),"Prioridad 3")</f>
        <v>Prioridad 3</v>
      </c>
      <c r="J927" s="43" t="s">
        <v>264</v>
      </c>
    </row>
    <row r="928" spans="2:10">
      <c r="B928" s="25" t="str">
        <f ca="1">IFERROR(__xludf.DUMMYFUNCTION("""COMPUTED_VALUE"""),"MUNICIPALIDAD DISTRITAL")</f>
        <v>MUNICIPALIDAD DISTRITAL</v>
      </c>
      <c r="C928" s="25" t="str">
        <f ca="1">IFERROR(__xludf.DUMMYFUNCTION("""COMPUTED_VALUE"""),"MUNICIPALIDAD DISTRITAL DE PAZOS")</f>
        <v>MUNICIPALIDAD DISTRITAL DE PAZOS</v>
      </c>
      <c r="D928" s="25" t="str">
        <f ca="1">IFERROR(__xludf.DUMMYFUNCTION("""COMPUTED_VALUE"""),"JUNÍN")</f>
        <v>JUNÍN</v>
      </c>
      <c r="E928" s="25" t="str">
        <f ca="1">IFERROR(__xludf.DUMMYFUNCTION("""COMPUTED_VALUE"""),"HUANCAVELICA")</f>
        <v>HUANCAVELICA</v>
      </c>
      <c r="F928" s="25" t="str">
        <f ca="1">IFERROR(__xludf.DUMMYFUNCTION("""COMPUTED_VALUE"""),"TAYACAJA")</f>
        <v>TAYACAJA</v>
      </c>
      <c r="G928" s="25" t="str">
        <f ca="1">IFERROR(__xludf.DUMMYFUNCTION("""COMPUTED_VALUE"""),"PAZOS")</f>
        <v>PAZOS</v>
      </c>
      <c r="H928" s="25" t="str">
        <f ca="1">IFERROR(__xludf.DUMMYFUNCTION("""COMPUTED_VALUE"""),"RURAL")</f>
        <v>RURAL</v>
      </c>
      <c r="I928" s="25" t="str">
        <f ca="1">IFERROR(__xludf.DUMMYFUNCTION("""COMPUTED_VALUE"""),"Prioridad 5")</f>
        <v>Prioridad 5</v>
      </c>
      <c r="J928" s="43" t="s">
        <v>264</v>
      </c>
    </row>
    <row r="929" spans="2:10">
      <c r="B929" s="25" t="str">
        <f ca="1">IFERROR(__xludf.DUMMYFUNCTION("""COMPUTED_VALUE"""),"MUNICIPALIDAD DISTRITAL")</f>
        <v>MUNICIPALIDAD DISTRITAL</v>
      </c>
      <c r="C929" s="25" t="str">
        <f ca="1">IFERROR(__xludf.DUMMYFUNCTION("""COMPUTED_VALUE"""),"MUNICIPALIDAD DISTRITAL DE PICHUS")</f>
        <v>MUNICIPALIDAD DISTRITAL DE PICHUS</v>
      </c>
      <c r="D929" s="25" t="str">
        <f ca="1">IFERROR(__xludf.DUMMYFUNCTION("""COMPUTED_VALUE"""),"JUNÍN")</f>
        <v>JUNÍN</v>
      </c>
      <c r="E929" s="25" t="str">
        <f ca="1">IFERROR(__xludf.DUMMYFUNCTION("""COMPUTED_VALUE"""),"HUANCAVELICA")</f>
        <v>HUANCAVELICA</v>
      </c>
      <c r="F929" s="25" t="str">
        <f ca="1">IFERROR(__xludf.DUMMYFUNCTION("""COMPUTED_VALUE"""),"TAYACAJA")</f>
        <v>TAYACAJA</v>
      </c>
      <c r="G929" s="25" t="str">
        <f ca="1">IFERROR(__xludf.DUMMYFUNCTION("""COMPUTED_VALUE"""),"PICHOS")</f>
        <v>PICHOS</v>
      </c>
      <c r="H929" s="25" t="str">
        <f ca="1">IFERROR(__xludf.DUMMYFUNCTION("""COMPUTED_VALUE"""),"RURAL")</f>
        <v>RURAL</v>
      </c>
      <c r="I929" s="25" t="str">
        <f ca="1">IFERROR(__xludf.DUMMYFUNCTION("""COMPUTED_VALUE"""),"Prioridad 5")</f>
        <v>Prioridad 5</v>
      </c>
      <c r="J929" s="43" t="s">
        <v>264</v>
      </c>
    </row>
    <row r="930" spans="2:10">
      <c r="B930" s="25" t="str">
        <f ca="1">IFERROR(__xludf.DUMMYFUNCTION("""COMPUTED_VALUE"""),"MUNICIPALIDAD DISTRITAL")</f>
        <v>MUNICIPALIDAD DISTRITAL</v>
      </c>
      <c r="C930" s="25" t="str">
        <f ca="1">IFERROR(__xludf.DUMMYFUNCTION("""COMPUTED_VALUE"""),"MUNICIPALIDAD DISTRITAL DE ROBLE")</f>
        <v>MUNICIPALIDAD DISTRITAL DE ROBLE</v>
      </c>
      <c r="D930" s="25" t="str">
        <f ca="1">IFERROR(__xludf.DUMMYFUNCTION("""COMPUTED_VALUE"""),"JUNÍN")</f>
        <v>JUNÍN</v>
      </c>
      <c r="E930" s="25" t="str">
        <f ca="1">IFERROR(__xludf.DUMMYFUNCTION("""COMPUTED_VALUE"""),"HUANCAVELICA")</f>
        <v>HUANCAVELICA</v>
      </c>
      <c r="F930" s="25" t="str">
        <f ca="1">IFERROR(__xludf.DUMMYFUNCTION("""COMPUTED_VALUE"""),"TAYACAJA")</f>
        <v>TAYACAJA</v>
      </c>
      <c r="G930" s="25" t="str">
        <f ca="1">IFERROR(__xludf.DUMMYFUNCTION("""COMPUTED_VALUE"""),"ROBLE")</f>
        <v>ROBLE</v>
      </c>
      <c r="H930" s="25" t="str">
        <f ca="1">IFERROR(__xludf.DUMMYFUNCTION("""COMPUTED_VALUE"""),"RURAL")</f>
        <v>RURAL</v>
      </c>
      <c r="I930" s="25" t="str">
        <f ca="1">IFERROR(__xludf.DUMMYFUNCTION("""COMPUTED_VALUE"""),"Prioridad 4")</f>
        <v>Prioridad 4</v>
      </c>
      <c r="J930" s="43" t="s">
        <v>264</v>
      </c>
    </row>
    <row r="931" spans="2:10">
      <c r="B931" s="25" t="str">
        <f ca="1">IFERROR(__xludf.DUMMYFUNCTION("""COMPUTED_VALUE"""),"MUNICIPALIDAD DISTRITAL")</f>
        <v>MUNICIPALIDAD DISTRITAL</v>
      </c>
      <c r="C931" s="25" t="str">
        <f ca="1">IFERROR(__xludf.DUMMYFUNCTION("""COMPUTED_VALUE"""),"MUNICIPALIDAD DISTRITAL DE QUICHUAS")</f>
        <v>MUNICIPALIDAD DISTRITAL DE QUICHUAS</v>
      </c>
      <c r="D931" s="25" t="str">
        <f ca="1">IFERROR(__xludf.DUMMYFUNCTION("""COMPUTED_VALUE"""),"JUNÍN")</f>
        <v>JUNÍN</v>
      </c>
      <c r="E931" s="25" t="str">
        <f ca="1">IFERROR(__xludf.DUMMYFUNCTION("""COMPUTED_VALUE"""),"HUANCAVELICA")</f>
        <v>HUANCAVELICA</v>
      </c>
      <c r="F931" s="25" t="str">
        <f ca="1">IFERROR(__xludf.DUMMYFUNCTION("""COMPUTED_VALUE"""),"TAYACAJA")</f>
        <v>TAYACAJA</v>
      </c>
      <c r="G931" s="25" t="str">
        <f ca="1">IFERROR(__xludf.DUMMYFUNCTION("""COMPUTED_VALUE"""),"QUICHUAS")</f>
        <v>QUICHUAS</v>
      </c>
      <c r="H931" s="25" t="str">
        <f ca="1">IFERROR(__xludf.DUMMYFUNCTION("""COMPUTED_VALUE"""),"RURAL")</f>
        <v>RURAL</v>
      </c>
      <c r="I931" s="25" t="str">
        <f ca="1">IFERROR(__xludf.DUMMYFUNCTION("""COMPUTED_VALUE"""),"Prioridad 5")</f>
        <v>Prioridad 5</v>
      </c>
      <c r="J931" s="43" t="s">
        <v>264</v>
      </c>
    </row>
    <row r="932" spans="2:10">
      <c r="B932" s="25" t="str">
        <f ca="1">IFERROR(__xludf.DUMMYFUNCTION("""COMPUTED_VALUE"""),"MUNICIPALIDAD DISTRITAL")</f>
        <v>MUNICIPALIDAD DISTRITAL</v>
      </c>
      <c r="C932" s="25" t="str">
        <f ca="1">IFERROR(__xludf.DUMMYFUNCTION("""COMPUTED_VALUE"""),"MUNICIPALIDAD DISTRITAL DE QUISHUAR")</f>
        <v>MUNICIPALIDAD DISTRITAL DE QUISHUAR</v>
      </c>
      <c r="D932" s="25" t="str">
        <f ca="1">IFERROR(__xludf.DUMMYFUNCTION("""COMPUTED_VALUE"""),"JUNÍN")</f>
        <v>JUNÍN</v>
      </c>
      <c r="E932" s="25" t="str">
        <f ca="1">IFERROR(__xludf.DUMMYFUNCTION("""COMPUTED_VALUE"""),"HUANCAVELICA")</f>
        <v>HUANCAVELICA</v>
      </c>
      <c r="F932" s="25" t="str">
        <f ca="1">IFERROR(__xludf.DUMMYFUNCTION("""COMPUTED_VALUE"""),"TAYACAJA")</f>
        <v>TAYACAJA</v>
      </c>
      <c r="G932" s="25" t="str">
        <f ca="1">IFERROR(__xludf.DUMMYFUNCTION("""COMPUTED_VALUE"""),"QUISHUAR")</f>
        <v>QUISHUAR</v>
      </c>
      <c r="H932" s="25" t="str">
        <f ca="1">IFERROR(__xludf.DUMMYFUNCTION("""COMPUTED_VALUE"""),"RURAL")</f>
        <v>RURAL</v>
      </c>
      <c r="I932" s="25" t="str">
        <f ca="1">IFERROR(__xludf.DUMMYFUNCTION("""COMPUTED_VALUE"""),"Prioridad 4")</f>
        <v>Prioridad 4</v>
      </c>
      <c r="J932" s="43" t="s">
        <v>264</v>
      </c>
    </row>
    <row r="933" spans="2:10">
      <c r="B933" s="25" t="str">
        <f ca="1">IFERROR(__xludf.DUMMYFUNCTION("""COMPUTED_VALUE"""),"MUNICIPALIDAD DISTRITAL")</f>
        <v>MUNICIPALIDAD DISTRITAL</v>
      </c>
      <c r="C933" s="25" t="str">
        <f ca="1">IFERROR(__xludf.DUMMYFUNCTION("""COMPUTED_VALUE"""),"MUNICIPALIDAD DISTRITAL DE SALCABAMBA")</f>
        <v>MUNICIPALIDAD DISTRITAL DE SALCABAMBA</v>
      </c>
      <c r="D933" s="25" t="str">
        <f ca="1">IFERROR(__xludf.DUMMYFUNCTION("""COMPUTED_VALUE"""),"JUNÍN")</f>
        <v>JUNÍN</v>
      </c>
      <c r="E933" s="25" t="str">
        <f ca="1">IFERROR(__xludf.DUMMYFUNCTION("""COMPUTED_VALUE"""),"HUANCAVELICA")</f>
        <v>HUANCAVELICA</v>
      </c>
      <c r="F933" s="25" t="str">
        <f ca="1">IFERROR(__xludf.DUMMYFUNCTION("""COMPUTED_VALUE"""),"TAYACAJA")</f>
        <v>TAYACAJA</v>
      </c>
      <c r="G933" s="25" t="str">
        <f ca="1">IFERROR(__xludf.DUMMYFUNCTION("""COMPUTED_VALUE"""),"SALCABAMBA")</f>
        <v>SALCABAMBA</v>
      </c>
      <c r="H933" s="25" t="str">
        <f ca="1">IFERROR(__xludf.DUMMYFUNCTION("""COMPUTED_VALUE"""),"RURAL")</f>
        <v>RURAL</v>
      </c>
      <c r="I933" s="25" t="str">
        <f ca="1">IFERROR(__xludf.DUMMYFUNCTION("""COMPUTED_VALUE"""),"Prioridad 5")</f>
        <v>Prioridad 5</v>
      </c>
      <c r="J933" s="43" t="s">
        <v>264</v>
      </c>
    </row>
    <row r="934" spans="2:10">
      <c r="B934" s="25" t="str">
        <f ca="1">IFERROR(__xludf.DUMMYFUNCTION("""COMPUTED_VALUE"""),"MUNICIPALIDAD DISTRITAL")</f>
        <v>MUNICIPALIDAD DISTRITAL</v>
      </c>
      <c r="C934" s="25" t="str">
        <f ca="1">IFERROR(__xludf.DUMMYFUNCTION("""COMPUTED_VALUE"""),"MUNICIPALIDAD DISTRITAL DE SALCAHUASI")</f>
        <v>MUNICIPALIDAD DISTRITAL DE SALCAHUASI</v>
      </c>
      <c r="D934" s="25" t="str">
        <f ca="1">IFERROR(__xludf.DUMMYFUNCTION("""COMPUTED_VALUE"""),"JUNÍN")</f>
        <v>JUNÍN</v>
      </c>
      <c r="E934" s="25" t="str">
        <f ca="1">IFERROR(__xludf.DUMMYFUNCTION("""COMPUTED_VALUE"""),"HUANCAVELICA")</f>
        <v>HUANCAVELICA</v>
      </c>
      <c r="F934" s="25" t="str">
        <f ca="1">IFERROR(__xludf.DUMMYFUNCTION("""COMPUTED_VALUE"""),"TAYACAJA")</f>
        <v>TAYACAJA</v>
      </c>
      <c r="G934" s="25" t="str">
        <f ca="1">IFERROR(__xludf.DUMMYFUNCTION("""COMPUTED_VALUE"""),"SALCAHUASI")</f>
        <v>SALCAHUASI</v>
      </c>
      <c r="H934" s="25" t="str">
        <f ca="1">IFERROR(__xludf.DUMMYFUNCTION("""COMPUTED_VALUE"""),"RURAL")</f>
        <v>RURAL</v>
      </c>
      <c r="I934" s="25" t="str">
        <f ca="1">IFERROR(__xludf.DUMMYFUNCTION("""COMPUTED_VALUE"""),"Prioridad 5")</f>
        <v>Prioridad 5</v>
      </c>
      <c r="J934" s="43" t="s">
        <v>264</v>
      </c>
    </row>
    <row r="935" spans="2:10">
      <c r="B935" s="25" t="str">
        <f ca="1">IFERROR(__xludf.DUMMYFUNCTION("""COMPUTED_VALUE"""),"MUNICIPALIDAD DISTRITAL")</f>
        <v>MUNICIPALIDAD DISTRITAL</v>
      </c>
      <c r="C935" s="25" t="str">
        <f ca="1">IFERROR(__xludf.DUMMYFUNCTION("""COMPUTED_VALUE"""),"MUNICIPALIDAD DISTRITAL DE SAN MARCOS DE ROCCHAC")</f>
        <v>MUNICIPALIDAD DISTRITAL DE SAN MARCOS DE ROCCHAC</v>
      </c>
      <c r="D935" s="25" t="str">
        <f ca="1">IFERROR(__xludf.DUMMYFUNCTION("""COMPUTED_VALUE"""),"JUNÍN")</f>
        <v>JUNÍN</v>
      </c>
      <c r="E935" s="25" t="str">
        <f ca="1">IFERROR(__xludf.DUMMYFUNCTION("""COMPUTED_VALUE"""),"HUANCAVELICA")</f>
        <v>HUANCAVELICA</v>
      </c>
      <c r="F935" s="25" t="str">
        <f ca="1">IFERROR(__xludf.DUMMYFUNCTION("""COMPUTED_VALUE"""),"TAYACAJA")</f>
        <v>TAYACAJA</v>
      </c>
      <c r="G935" s="25" t="str">
        <f ca="1">IFERROR(__xludf.DUMMYFUNCTION("""COMPUTED_VALUE"""),"SAN MARCOS DE ROCCHAC")</f>
        <v>SAN MARCOS DE ROCCHAC</v>
      </c>
      <c r="H935" s="25" t="str">
        <f ca="1">IFERROR(__xludf.DUMMYFUNCTION("""COMPUTED_VALUE"""),"RURAL")</f>
        <v>RURAL</v>
      </c>
      <c r="I935" s="25" t="str">
        <f ca="1">IFERROR(__xludf.DUMMYFUNCTION("""COMPUTED_VALUE"""),"Prioridad 5")</f>
        <v>Prioridad 5</v>
      </c>
      <c r="J935" s="43" t="s">
        <v>264</v>
      </c>
    </row>
    <row r="936" spans="2:10">
      <c r="B936" s="25" t="str">
        <f ca="1">IFERROR(__xludf.DUMMYFUNCTION("""COMPUTED_VALUE"""),"MUNICIPALIDAD DISTRITAL")</f>
        <v>MUNICIPALIDAD DISTRITAL</v>
      </c>
      <c r="C936" s="25" t="str">
        <f ca="1">IFERROR(__xludf.DUMMYFUNCTION("""COMPUTED_VALUE"""),"MUNICIPALIDAD DISTRITAL DE SANTIAGO DE TUCUMA")</f>
        <v>MUNICIPALIDAD DISTRITAL DE SANTIAGO DE TUCUMA</v>
      </c>
      <c r="D936" s="25" t="str">
        <f ca="1">IFERROR(__xludf.DUMMYFUNCTION("""COMPUTED_VALUE"""),"JUNÍN")</f>
        <v>JUNÍN</v>
      </c>
      <c r="E936" s="25" t="str">
        <f ca="1">IFERROR(__xludf.DUMMYFUNCTION("""COMPUTED_VALUE"""),"HUANCAVELICA")</f>
        <v>HUANCAVELICA</v>
      </c>
      <c r="F936" s="25" t="str">
        <f ca="1">IFERROR(__xludf.DUMMYFUNCTION("""COMPUTED_VALUE"""),"TAYACAJA")</f>
        <v>TAYACAJA</v>
      </c>
      <c r="G936" s="25" t="str">
        <f ca="1">IFERROR(__xludf.DUMMYFUNCTION("""COMPUTED_VALUE"""),"SANTIAGO DE TUCUMA")</f>
        <v>SANTIAGO DE TUCUMA</v>
      </c>
      <c r="H936" s="25" t="str">
        <f ca="1">IFERROR(__xludf.DUMMYFUNCTION("""COMPUTED_VALUE"""),"RURAL")</f>
        <v>RURAL</v>
      </c>
      <c r="I936" s="25" t="str">
        <f ca="1">IFERROR(__xludf.DUMMYFUNCTION("""COMPUTED_VALUE"""),"Prioridad 4")</f>
        <v>Prioridad 4</v>
      </c>
      <c r="J936" s="43" t="s">
        <v>264</v>
      </c>
    </row>
    <row r="937" spans="2:10">
      <c r="B937" s="25" t="str">
        <f ca="1">IFERROR(__xludf.DUMMYFUNCTION("""COMPUTED_VALUE"""),"MUNICIPALIDAD DISTRITAL")</f>
        <v>MUNICIPALIDAD DISTRITAL</v>
      </c>
      <c r="C937" s="25" t="str">
        <f ca="1">IFERROR(__xludf.DUMMYFUNCTION("""COMPUTED_VALUE"""),"MUNICIPALIDAD DISTRITAL DE SURCUBAMBA")</f>
        <v>MUNICIPALIDAD DISTRITAL DE SURCUBAMBA</v>
      </c>
      <c r="D937" s="25" t="str">
        <f ca="1">IFERROR(__xludf.DUMMYFUNCTION("""COMPUTED_VALUE"""),"JUNÍN")</f>
        <v>JUNÍN</v>
      </c>
      <c r="E937" s="25" t="str">
        <f ca="1">IFERROR(__xludf.DUMMYFUNCTION("""COMPUTED_VALUE"""),"HUANCAVELICA")</f>
        <v>HUANCAVELICA</v>
      </c>
      <c r="F937" s="25" t="str">
        <f ca="1">IFERROR(__xludf.DUMMYFUNCTION("""COMPUTED_VALUE"""),"TAYACAJA")</f>
        <v>TAYACAJA</v>
      </c>
      <c r="G937" s="25" t="str">
        <f ca="1">IFERROR(__xludf.DUMMYFUNCTION("""COMPUTED_VALUE"""),"SURCUBAMBA")</f>
        <v>SURCUBAMBA</v>
      </c>
      <c r="H937" s="25" t="str">
        <f ca="1">IFERROR(__xludf.DUMMYFUNCTION("""COMPUTED_VALUE"""),"RURAL")</f>
        <v>RURAL</v>
      </c>
      <c r="I937" s="25" t="str">
        <f ca="1">IFERROR(__xludf.DUMMYFUNCTION("""COMPUTED_VALUE"""),"Prioridad 3")</f>
        <v>Prioridad 3</v>
      </c>
      <c r="J937" s="43" t="s">
        <v>264</v>
      </c>
    </row>
    <row r="938" spans="2:10">
      <c r="B938" s="25" t="str">
        <f ca="1">IFERROR(__xludf.DUMMYFUNCTION("""COMPUTED_VALUE"""),"MUNICIPALIDAD DISTRITAL")</f>
        <v>MUNICIPALIDAD DISTRITAL</v>
      </c>
      <c r="C938" s="25" t="str">
        <f ca="1">IFERROR(__xludf.DUMMYFUNCTION("""COMPUTED_VALUE"""),"MUNICIPALIDAD DISTRITAL DE TINTAY PUNCU")</f>
        <v>MUNICIPALIDAD DISTRITAL DE TINTAY PUNCU</v>
      </c>
      <c r="D938" s="25" t="str">
        <f ca="1">IFERROR(__xludf.DUMMYFUNCTION("""COMPUTED_VALUE"""),"JUNÍN")</f>
        <v>JUNÍN</v>
      </c>
      <c r="E938" s="25" t="str">
        <f ca="1">IFERROR(__xludf.DUMMYFUNCTION("""COMPUTED_VALUE"""),"HUANCAVELICA")</f>
        <v>HUANCAVELICA</v>
      </c>
      <c r="F938" s="25" t="str">
        <f ca="1">IFERROR(__xludf.DUMMYFUNCTION("""COMPUTED_VALUE"""),"TAYACAJA")</f>
        <v>TAYACAJA</v>
      </c>
      <c r="G938" s="25" t="str">
        <f ca="1">IFERROR(__xludf.DUMMYFUNCTION("""COMPUTED_VALUE"""),"TINTAY PUNCU")</f>
        <v>TINTAY PUNCU</v>
      </c>
      <c r="H938" s="25" t="str">
        <f ca="1">IFERROR(__xludf.DUMMYFUNCTION("""COMPUTED_VALUE"""),"RURAL")</f>
        <v>RURAL</v>
      </c>
      <c r="I938" s="25" t="str">
        <f ca="1">IFERROR(__xludf.DUMMYFUNCTION("""COMPUTED_VALUE"""),"Prioridad 4")</f>
        <v>Prioridad 4</v>
      </c>
      <c r="J938" s="43" t="s">
        <v>264</v>
      </c>
    </row>
    <row r="939" spans="2:10">
      <c r="B939" s="25" t="str">
        <f ca="1">IFERROR(__xludf.DUMMYFUNCTION("""COMPUTED_VALUE"""),"MUNICIPALIDAD PROVINCIAL")</f>
        <v>MUNICIPALIDAD PROVINCIAL</v>
      </c>
      <c r="C939" s="25" t="str">
        <f ca="1">IFERROR(__xludf.DUMMYFUNCTION("""COMPUTED_VALUE"""),"MUNICIPALIDAD PROVINCIAL DE AMBO")</f>
        <v>MUNICIPALIDAD PROVINCIAL DE AMBO</v>
      </c>
      <c r="D939" s="25" t="str">
        <f ca="1">IFERROR(__xludf.DUMMYFUNCTION("""COMPUTED_VALUE"""),"JUNÍN")</f>
        <v>JUNÍN</v>
      </c>
      <c r="E939" s="25" t="str">
        <f ca="1">IFERROR(__xludf.DUMMYFUNCTION("""COMPUTED_VALUE"""),"HUÁNUCO")</f>
        <v>HUÁNUCO</v>
      </c>
      <c r="F939" s="25" t="str">
        <f ca="1">IFERROR(__xludf.DUMMYFUNCTION("""COMPUTED_VALUE"""),"AMBO")</f>
        <v>AMBO</v>
      </c>
      <c r="G939" s="25" t="str">
        <f ca="1">IFERROR(__xludf.DUMMYFUNCTION("""COMPUTED_VALUE"""),"AMBO")</f>
        <v>AMBO</v>
      </c>
      <c r="H939" s="25" t="str">
        <f ca="1">IFERROR(__xludf.DUMMYFUNCTION("""COMPUTED_VALUE"""),"URBANO")</f>
        <v>URBANO</v>
      </c>
      <c r="I939" s="25" t="str">
        <f ca="1">IFERROR(__xludf.DUMMYFUNCTION("""COMPUTED_VALUE"""),"Prioridad 1")</f>
        <v>Prioridad 1</v>
      </c>
      <c r="J939" s="43" t="s">
        <v>264</v>
      </c>
    </row>
    <row r="940" spans="2:10">
      <c r="B940" s="25" t="str">
        <f ca="1">IFERROR(__xludf.DUMMYFUNCTION("""COMPUTED_VALUE"""),"MUNICIPALIDAD DISTRITAL")</f>
        <v>MUNICIPALIDAD DISTRITAL</v>
      </c>
      <c r="C940" s="25" t="str">
        <f ca="1">IFERROR(__xludf.DUMMYFUNCTION("""COMPUTED_VALUE"""),"MUNICIPALIDAD DISTRITAL DE CAYNA")</f>
        <v>MUNICIPALIDAD DISTRITAL DE CAYNA</v>
      </c>
      <c r="D940" s="25" t="str">
        <f ca="1">IFERROR(__xludf.DUMMYFUNCTION("""COMPUTED_VALUE"""),"JUNÍN")</f>
        <v>JUNÍN</v>
      </c>
      <c r="E940" s="25" t="str">
        <f ca="1">IFERROR(__xludf.DUMMYFUNCTION("""COMPUTED_VALUE"""),"HUÁNUCO")</f>
        <v>HUÁNUCO</v>
      </c>
      <c r="F940" s="25" t="str">
        <f ca="1">IFERROR(__xludf.DUMMYFUNCTION("""COMPUTED_VALUE"""),"AMBO")</f>
        <v>AMBO</v>
      </c>
      <c r="G940" s="25" t="str">
        <f ca="1">IFERROR(__xludf.DUMMYFUNCTION("""COMPUTED_VALUE"""),"CAYNA")</f>
        <v>CAYNA</v>
      </c>
      <c r="H940" s="25" t="str">
        <f ca="1">IFERROR(__xludf.DUMMYFUNCTION("""COMPUTED_VALUE"""),"RURAL")</f>
        <v>RURAL</v>
      </c>
      <c r="I940" s="25" t="str">
        <f ca="1">IFERROR(__xludf.DUMMYFUNCTION("""COMPUTED_VALUE"""),"Prioridad 5")</f>
        <v>Prioridad 5</v>
      </c>
      <c r="J940" s="43" t="s">
        <v>264</v>
      </c>
    </row>
    <row r="941" spans="2:10">
      <c r="B941" s="25" t="str">
        <f ca="1">IFERROR(__xludf.DUMMYFUNCTION("""COMPUTED_VALUE"""),"MUNICIPALIDAD DISTRITAL")</f>
        <v>MUNICIPALIDAD DISTRITAL</v>
      </c>
      <c r="C941" s="25" t="str">
        <f ca="1">IFERROR(__xludf.DUMMYFUNCTION("""COMPUTED_VALUE"""),"MUNICIPALIDAD DISTRITAL DE COLPAS")</f>
        <v>MUNICIPALIDAD DISTRITAL DE COLPAS</v>
      </c>
      <c r="D941" s="25" t="str">
        <f ca="1">IFERROR(__xludf.DUMMYFUNCTION("""COMPUTED_VALUE"""),"JUNÍN")</f>
        <v>JUNÍN</v>
      </c>
      <c r="E941" s="25" t="str">
        <f ca="1">IFERROR(__xludf.DUMMYFUNCTION("""COMPUTED_VALUE"""),"HUÁNUCO")</f>
        <v>HUÁNUCO</v>
      </c>
      <c r="F941" s="25" t="str">
        <f ca="1">IFERROR(__xludf.DUMMYFUNCTION("""COMPUTED_VALUE"""),"AMBO")</f>
        <v>AMBO</v>
      </c>
      <c r="G941" s="25" t="str">
        <f ca="1">IFERROR(__xludf.DUMMYFUNCTION("""COMPUTED_VALUE"""),"COLPAS")</f>
        <v>COLPAS</v>
      </c>
      <c r="H941" s="25" t="str">
        <f ca="1">IFERROR(__xludf.DUMMYFUNCTION("""COMPUTED_VALUE"""),"RURAL")</f>
        <v>RURAL</v>
      </c>
      <c r="I941" s="25" t="str">
        <f ca="1">IFERROR(__xludf.DUMMYFUNCTION("""COMPUTED_VALUE"""),"Prioridad 5")</f>
        <v>Prioridad 5</v>
      </c>
      <c r="J941" s="43" t="s">
        <v>264</v>
      </c>
    </row>
    <row r="942" spans="2:10">
      <c r="B942" s="25" t="str">
        <f ca="1">IFERROR(__xludf.DUMMYFUNCTION("""COMPUTED_VALUE"""),"MUNICIPALIDAD DISTRITAL")</f>
        <v>MUNICIPALIDAD DISTRITAL</v>
      </c>
      <c r="C942" s="25" t="str">
        <f ca="1">IFERROR(__xludf.DUMMYFUNCTION("""COMPUTED_VALUE"""),"MUNICIPALIDAD DISTRITAL DE CONCHAMARCA")</f>
        <v>MUNICIPALIDAD DISTRITAL DE CONCHAMARCA</v>
      </c>
      <c r="D942" s="25" t="str">
        <f ca="1">IFERROR(__xludf.DUMMYFUNCTION("""COMPUTED_VALUE"""),"JUNÍN")</f>
        <v>JUNÍN</v>
      </c>
      <c r="E942" s="25" t="str">
        <f ca="1">IFERROR(__xludf.DUMMYFUNCTION("""COMPUTED_VALUE"""),"HUÁNUCO")</f>
        <v>HUÁNUCO</v>
      </c>
      <c r="F942" s="25" t="str">
        <f ca="1">IFERROR(__xludf.DUMMYFUNCTION("""COMPUTED_VALUE"""),"AMBO")</f>
        <v>AMBO</v>
      </c>
      <c r="G942" s="25" t="str">
        <f ca="1">IFERROR(__xludf.DUMMYFUNCTION("""COMPUTED_VALUE"""),"CONCHAMARCA")</f>
        <v>CONCHAMARCA</v>
      </c>
      <c r="H942" s="25" t="str">
        <f ca="1">IFERROR(__xludf.DUMMYFUNCTION("""COMPUTED_VALUE"""),"RURAL")</f>
        <v>RURAL</v>
      </c>
      <c r="I942" s="25" t="str">
        <f ca="1">IFERROR(__xludf.DUMMYFUNCTION("""COMPUTED_VALUE"""),"Prioridad 5")</f>
        <v>Prioridad 5</v>
      </c>
      <c r="J942" s="43" t="s">
        <v>264</v>
      </c>
    </row>
    <row r="943" spans="2:10">
      <c r="B943" s="25" t="str">
        <f ca="1">IFERROR(__xludf.DUMMYFUNCTION("""COMPUTED_VALUE"""),"MUNICIPALIDAD DISTRITAL")</f>
        <v>MUNICIPALIDAD DISTRITAL</v>
      </c>
      <c r="C943" s="25" t="str">
        <f ca="1">IFERROR(__xludf.DUMMYFUNCTION("""COMPUTED_VALUE"""),"MUNICIPALIDAD DISTRITAL DE HUACAR")</f>
        <v>MUNICIPALIDAD DISTRITAL DE HUACAR</v>
      </c>
      <c r="D943" s="25" t="str">
        <f ca="1">IFERROR(__xludf.DUMMYFUNCTION("""COMPUTED_VALUE"""),"JUNÍN")</f>
        <v>JUNÍN</v>
      </c>
      <c r="E943" s="25" t="str">
        <f ca="1">IFERROR(__xludf.DUMMYFUNCTION("""COMPUTED_VALUE"""),"HUÁNUCO")</f>
        <v>HUÁNUCO</v>
      </c>
      <c r="F943" s="25" t="str">
        <f ca="1">IFERROR(__xludf.DUMMYFUNCTION("""COMPUTED_VALUE"""),"AMBO")</f>
        <v>AMBO</v>
      </c>
      <c r="G943" s="25" t="str">
        <f ca="1">IFERROR(__xludf.DUMMYFUNCTION("""COMPUTED_VALUE"""),"HUACAR")</f>
        <v>HUACAR</v>
      </c>
      <c r="H943" s="25" t="str">
        <f ca="1">IFERROR(__xludf.DUMMYFUNCTION("""COMPUTED_VALUE"""),"RURAL")</f>
        <v>RURAL</v>
      </c>
      <c r="I943" s="25" t="str">
        <f ca="1">IFERROR(__xludf.DUMMYFUNCTION("""COMPUTED_VALUE"""),"Prioridad 5")</f>
        <v>Prioridad 5</v>
      </c>
      <c r="J943" s="43" t="s">
        <v>264</v>
      </c>
    </row>
    <row r="944" spans="2:10">
      <c r="B944" s="25" t="str">
        <f ca="1">IFERROR(__xludf.DUMMYFUNCTION("""COMPUTED_VALUE"""),"MUNICIPALIDAD DISTRITAL")</f>
        <v>MUNICIPALIDAD DISTRITAL</v>
      </c>
      <c r="C944" s="25" t="str">
        <f ca="1">IFERROR(__xludf.DUMMYFUNCTION("""COMPUTED_VALUE"""),"MUNICIPALIDAD DISTRITAL DE SAN FRANCISCO")</f>
        <v>MUNICIPALIDAD DISTRITAL DE SAN FRANCISCO</v>
      </c>
      <c r="D944" s="25" t="str">
        <f ca="1">IFERROR(__xludf.DUMMYFUNCTION("""COMPUTED_VALUE"""),"JUNÍN")</f>
        <v>JUNÍN</v>
      </c>
      <c r="E944" s="25" t="str">
        <f ca="1">IFERROR(__xludf.DUMMYFUNCTION("""COMPUTED_VALUE"""),"HUÁNUCO")</f>
        <v>HUÁNUCO</v>
      </c>
      <c r="F944" s="25" t="str">
        <f ca="1">IFERROR(__xludf.DUMMYFUNCTION("""COMPUTED_VALUE"""),"AMBO")</f>
        <v>AMBO</v>
      </c>
      <c r="G944" s="25" t="str">
        <f ca="1">IFERROR(__xludf.DUMMYFUNCTION("""COMPUTED_VALUE"""),"SAN FRANCISCO")</f>
        <v>SAN FRANCISCO</v>
      </c>
      <c r="H944" s="25" t="str">
        <f ca="1">IFERROR(__xludf.DUMMYFUNCTION("""COMPUTED_VALUE"""),"RURAL")</f>
        <v>RURAL</v>
      </c>
      <c r="I944" s="25" t="str">
        <f ca="1">IFERROR(__xludf.DUMMYFUNCTION("""COMPUTED_VALUE"""),"Prioridad 5")</f>
        <v>Prioridad 5</v>
      </c>
      <c r="J944" s="43" t="s">
        <v>264</v>
      </c>
    </row>
    <row r="945" spans="2:10">
      <c r="B945" s="25" t="str">
        <f ca="1">IFERROR(__xludf.DUMMYFUNCTION("""COMPUTED_VALUE"""),"MUNICIPALIDAD DISTRITAL")</f>
        <v>MUNICIPALIDAD DISTRITAL</v>
      </c>
      <c r="C945" s="25" t="str">
        <f ca="1">IFERROR(__xludf.DUMMYFUNCTION("""COMPUTED_VALUE"""),"MUNICIPALIDAD DISTRITAL DE SAN RAFAEL EN AMBO")</f>
        <v>MUNICIPALIDAD DISTRITAL DE SAN RAFAEL EN AMBO</v>
      </c>
      <c r="D945" s="25" t="str">
        <f ca="1">IFERROR(__xludf.DUMMYFUNCTION("""COMPUTED_VALUE"""),"JUNÍN")</f>
        <v>JUNÍN</v>
      </c>
      <c r="E945" s="25" t="str">
        <f ca="1">IFERROR(__xludf.DUMMYFUNCTION("""COMPUTED_VALUE"""),"HUÁNUCO")</f>
        <v>HUÁNUCO</v>
      </c>
      <c r="F945" s="25" t="str">
        <f ca="1">IFERROR(__xludf.DUMMYFUNCTION("""COMPUTED_VALUE"""),"AMBO")</f>
        <v>AMBO</v>
      </c>
      <c r="G945" s="25" t="str">
        <f ca="1">IFERROR(__xludf.DUMMYFUNCTION("""COMPUTED_VALUE"""),"SAN RAFAEL")</f>
        <v>SAN RAFAEL</v>
      </c>
      <c r="H945" s="25" t="str">
        <f ca="1">IFERROR(__xludf.DUMMYFUNCTION("""COMPUTED_VALUE"""),"RURAL")</f>
        <v>RURAL</v>
      </c>
      <c r="I945" s="25" t="str">
        <f ca="1">IFERROR(__xludf.DUMMYFUNCTION("""COMPUTED_VALUE"""),"Prioridad 3")</f>
        <v>Prioridad 3</v>
      </c>
      <c r="J945" s="43" t="s">
        <v>264</v>
      </c>
    </row>
    <row r="946" spans="2:10">
      <c r="B946" s="25" t="str">
        <f ca="1">IFERROR(__xludf.DUMMYFUNCTION("""COMPUTED_VALUE"""),"MUNICIPALIDAD DISTRITAL")</f>
        <v>MUNICIPALIDAD DISTRITAL</v>
      </c>
      <c r="C946" s="25" t="str">
        <f ca="1">IFERROR(__xludf.DUMMYFUNCTION("""COMPUTED_VALUE"""),"MUNICIPALIDAD DISTRITAL DE TOMAY KICHWA")</f>
        <v>MUNICIPALIDAD DISTRITAL DE TOMAY KICHWA</v>
      </c>
      <c r="D946" s="25" t="str">
        <f ca="1">IFERROR(__xludf.DUMMYFUNCTION("""COMPUTED_VALUE"""),"JUNÍN")</f>
        <v>JUNÍN</v>
      </c>
      <c r="E946" s="25" t="str">
        <f ca="1">IFERROR(__xludf.DUMMYFUNCTION("""COMPUTED_VALUE"""),"HUÁNUCO")</f>
        <v>HUÁNUCO</v>
      </c>
      <c r="F946" s="25" t="str">
        <f ca="1">IFERROR(__xludf.DUMMYFUNCTION("""COMPUTED_VALUE"""),"AMBO")</f>
        <v>AMBO</v>
      </c>
      <c r="G946" s="25" t="str">
        <f ca="1">IFERROR(__xludf.DUMMYFUNCTION("""COMPUTED_VALUE"""),"TOMAY KICHWA")</f>
        <v>TOMAY KICHWA</v>
      </c>
      <c r="H946" s="25" t="str">
        <f ca="1">IFERROR(__xludf.DUMMYFUNCTION("""COMPUTED_VALUE"""),"RURAL")</f>
        <v>RURAL</v>
      </c>
      <c r="I946" s="25" t="str">
        <f ca="1">IFERROR(__xludf.DUMMYFUNCTION("""COMPUTED_VALUE"""),"Prioridad 3")</f>
        <v>Prioridad 3</v>
      </c>
      <c r="J946" s="43" t="s">
        <v>264</v>
      </c>
    </row>
    <row r="947" spans="2:10">
      <c r="B947" s="25" t="str">
        <f ca="1">IFERROR(__xludf.DUMMYFUNCTION("""COMPUTED_VALUE"""),"MUNICIPALIDAD PROVINCIAL")</f>
        <v>MUNICIPALIDAD PROVINCIAL</v>
      </c>
      <c r="C947" s="25" t="str">
        <f ca="1">IFERROR(__xludf.DUMMYFUNCTION("""COMPUTED_VALUE"""),"MUNICIPALIDAD PROVINCIAL DE DOS DE MAYO")</f>
        <v>MUNICIPALIDAD PROVINCIAL DE DOS DE MAYO</v>
      </c>
      <c r="D947" s="25" t="str">
        <f ca="1">IFERROR(__xludf.DUMMYFUNCTION("""COMPUTED_VALUE"""),"JUNÍN")</f>
        <v>JUNÍN</v>
      </c>
      <c r="E947" s="25" t="str">
        <f ca="1">IFERROR(__xludf.DUMMYFUNCTION("""COMPUTED_VALUE"""),"HUÁNUCO")</f>
        <v>HUÁNUCO</v>
      </c>
      <c r="F947" s="25" t="str">
        <f ca="1">IFERROR(__xludf.DUMMYFUNCTION("""COMPUTED_VALUE"""),"DOS DE MAYO")</f>
        <v>DOS DE MAYO</v>
      </c>
      <c r="G947" s="25" t="str">
        <f ca="1">IFERROR(__xludf.DUMMYFUNCTION("""COMPUTED_VALUE"""),"LA UNION")</f>
        <v>LA UNION</v>
      </c>
      <c r="H947" s="25" t="str">
        <f ca="1">IFERROR(__xludf.DUMMYFUNCTION("""COMPUTED_VALUE"""),"URBANO")</f>
        <v>URBANO</v>
      </c>
      <c r="I947" s="25" t="str">
        <f ca="1">IFERROR(__xludf.DUMMYFUNCTION("""COMPUTED_VALUE"""),"Prioridad 1")</f>
        <v>Prioridad 1</v>
      </c>
      <c r="J947" s="43" t="s">
        <v>264</v>
      </c>
    </row>
    <row r="948" spans="2:10">
      <c r="B948" s="25" t="str">
        <f ca="1">IFERROR(__xludf.DUMMYFUNCTION("""COMPUTED_VALUE"""),"MUNICIPALIDAD DISTRITAL")</f>
        <v>MUNICIPALIDAD DISTRITAL</v>
      </c>
      <c r="C948" s="25" t="str">
        <f ca="1">IFERROR(__xludf.DUMMYFUNCTION("""COMPUTED_VALUE"""),"MUNICIPALIDAD DISTRITAL DE CHUQUIS")</f>
        <v>MUNICIPALIDAD DISTRITAL DE CHUQUIS</v>
      </c>
      <c r="D948" s="25" t="str">
        <f ca="1">IFERROR(__xludf.DUMMYFUNCTION("""COMPUTED_VALUE"""),"JUNÍN")</f>
        <v>JUNÍN</v>
      </c>
      <c r="E948" s="25" t="str">
        <f ca="1">IFERROR(__xludf.DUMMYFUNCTION("""COMPUTED_VALUE"""),"HUÁNUCO")</f>
        <v>HUÁNUCO</v>
      </c>
      <c r="F948" s="25" t="str">
        <f ca="1">IFERROR(__xludf.DUMMYFUNCTION("""COMPUTED_VALUE"""),"DOS DE MAYO")</f>
        <v>DOS DE MAYO</v>
      </c>
      <c r="G948" s="25" t="str">
        <f ca="1">IFERROR(__xludf.DUMMYFUNCTION("""COMPUTED_VALUE"""),"CHUQUIS")</f>
        <v>CHUQUIS</v>
      </c>
      <c r="H948" s="25" t="str">
        <f ca="1">IFERROR(__xludf.DUMMYFUNCTION("""COMPUTED_VALUE"""),"RURAL")</f>
        <v>RURAL</v>
      </c>
      <c r="I948" s="25" t="str">
        <f ca="1">IFERROR(__xludf.DUMMYFUNCTION("""COMPUTED_VALUE"""),"Prioridad 4")</f>
        <v>Prioridad 4</v>
      </c>
      <c r="J948" s="43" t="s">
        <v>264</v>
      </c>
    </row>
    <row r="949" spans="2:10">
      <c r="B949" s="25" t="str">
        <f ca="1">IFERROR(__xludf.DUMMYFUNCTION("""COMPUTED_VALUE"""),"MUNICIPALIDAD DISTRITAL")</f>
        <v>MUNICIPALIDAD DISTRITAL</v>
      </c>
      <c r="C949" s="25" t="str">
        <f ca="1">IFERROR(__xludf.DUMMYFUNCTION("""COMPUTED_VALUE"""),"MUNICIPALIDAD DISTRITAL DE MARIAS")</f>
        <v>MUNICIPALIDAD DISTRITAL DE MARIAS</v>
      </c>
      <c r="D949" s="25" t="str">
        <f ca="1">IFERROR(__xludf.DUMMYFUNCTION("""COMPUTED_VALUE"""),"JUNÍN")</f>
        <v>JUNÍN</v>
      </c>
      <c r="E949" s="25" t="str">
        <f ca="1">IFERROR(__xludf.DUMMYFUNCTION("""COMPUTED_VALUE"""),"HUÁNUCO")</f>
        <v>HUÁNUCO</v>
      </c>
      <c r="F949" s="25" t="str">
        <f ca="1">IFERROR(__xludf.DUMMYFUNCTION("""COMPUTED_VALUE"""),"DOS DE MAYO")</f>
        <v>DOS DE MAYO</v>
      </c>
      <c r="G949" s="25" t="str">
        <f ca="1">IFERROR(__xludf.DUMMYFUNCTION("""COMPUTED_VALUE"""),"MARIAS")</f>
        <v>MARIAS</v>
      </c>
      <c r="H949" s="25" t="str">
        <f ca="1">IFERROR(__xludf.DUMMYFUNCTION("""COMPUTED_VALUE"""),"RURAL")</f>
        <v>RURAL</v>
      </c>
      <c r="I949" s="25" t="str">
        <f ca="1">IFERROR(__xludf.DUMMYFUNCTION("""COMPUTED_VALUE"""),"Prioridad 5")</f>
        <v>Prioridad 5</v>
      </c>
      <c r="J949" s="43" t="s">
        <v>264</v>
      </c>
    </row>
    <row r="950" spans="2:10">
      <c r="B950" s="25" t="str">
        <f ca="1">IFERROR(__xludf.DUMMYFUNCTION("""COMPUTED_VALUE"""),"MUNICIPALIDAD DISTRITAL")</f>
        <v>MUNICIPALIDAD DISTRITAL</v>
      </c>
      <c r="C950" s="25" t="str">
        <f ca="1">IFERROR(__xludf.DUMMYFUNCTION("""COMPUTED_VALUE"""),"MUNICIPALIDAD DISTRITAL DE PACHAS")</f>
        <v>MUNICIPALIDAD DISTRITAL DE PACHAS</v>
      </c>
      <c r="D950" s="25" t="str">
        <f ca="1">IFERROR(__xludf.DUMMYFUNCTION("""COMPUTED_VALUE"""),"JUNÍN")</f>
        <v>JUNÍN</v>
      </c>
      <c r="E950" s="25" t="str">
        <f ca="1">IFERROR(__xludf.DUMMYFUNCTION("""COMPUTED_VALUE"""),"HUÁNUCO")</f>
        <v>HUÁNUCO</v>
      </c>
      <c r="F950" s="25" t="str">
        <f ca="1">IFERROR(__xludf.DUMMYFUNCTION("""COMPUTED_VALUE"""),"DOS DE MAYO")</f>
        <v>DOS DE MAYO</v>
      </c>
      <c r="G950" s="25" t="str">
        <f ca="1">IFERROR(__xludf.DUMMYFUNCTION("""COMPUTED_VALUE"""),"PACHAS")</f>
        <v>PACHAS</v>
      </c>
      <c r="H950" s="25" t="str">
        <f ca="1">IFERROR(__xludf.DUMMYFUNCTION("""COMPUTED_VALUE"""),"RURAL")</f>
        <v>RURAL</v>
      </c>
      <c r="I950" s="25" t="str">
        <f ca="1">IFERROR(__xludf.DUMMYFUNCTION("""COMPUTED_VALUE"""),"Prioridad 4")</f>
        <v>Prioridad 4</v>
      </c>
      <c r="J950" s="43" t="s">
        <v>264</v>
      </c>
    </row>
    <row r="951" spans="2:10">
      <c r="B951" s="25" t="str">
        <f ca="1">IFERROR(__xludf.DUMMYFUNCTION("""COMPUTED_VALUE"""),"MUNICIPALIDAD DISTRITAL")</f>
        <v>MUNICIPALIDAD DISTRITAL</v>
      </c>
      <c r="C951" s="25" t="str">
        <f ca="1">IFERROR(__xludf.DUMMYFUNCTION("""COMPUTED_VALUE"""),"MUNICIPALIDAD DISTRITAL DE QUIVILLA")</f>
        <v>MUNICIPALIDAD DISTRITAL DE QUIVILLA</v>
      </c>
      <c r="D951" s="25" t="str">
        <f ca="1">IFERROR(__xludf.DUMMYFUNCTION("""COMPUTED_VALUE"""),"JUNÍN")</f>
        <v>JUNÍN</v>
      </c>
      <c r="E951" s="25" t="str">
        <f ca="1">IFERROR(__xludf.DUMMYFUNCTION("""COMPUTED_VALUE"""),"HUÁNUCO")</f>
        <v>HUÁNUCO</v>
      </c>
      <c r="F951" s="25" t="str">
        <f ca="1">IFERROR(__xludf.DUMMYFUNCTION("""COMPUTED_VALUE"""),"DOS DE MAYO")</f>
        <v>DOS DE MAYO</v>
      </c>
      <c r="G951" s="25" t="str">
        <f ca="1">IFERROR(__xludf.DUMMYFUNCTION("""COMPUTED_VALUE"""),"QUIVILLA")</f>
        <v>QUIVILLA</v>
      </c>
      <c r="H951" s="25" t="str">
        <f ca="1">IFERROR(__xludf.DUMMYFUNCTION("""COMPUTED_VALUE"""),"RURAL")</f>
        <v>RURAL</v>
      </c>
      <c r="I951" s="25" t="str">
        <f ca="1">IFERROR(__xludf.DUMMYFUNCTION("""COMPUTED_VALUE"""),"Prioridad 5")</f>
        <v>Prioridad 5</v>
      </c>
      <c r="J951" s="43" t="s">
        <v>264</v>
      </c>
    </row>
    <row r="952" spans="2:10">
      <c r="B952" s="25" t="str">
        <f ca="1">IFERROR(__xludf.DUMMYFUNCTION("""COMPUTED_VALUE"""),"MUNICIPALIDAD DISTRITAL")</f>
        <v>MUNICIPALIDAD DISTRITAL</v>
      </c>
      <c r="C952" s="25" t="str">
        <f ca="1">IFERROR(__xludf.DUMMYFUNCTION("""COMPUTED_VALUE"""),"MUNICIPALIDAD DISTRITAL DE RIPAN")</f>
        <v>MUNICIPALIDAD DISTRITAL DE RIPAN</v>
      </c>
      <c r="D952" s="25" t="str">
        <f ca="1">IFERROR(__xludf.DUMMYFUNCTION("""COMPUTED_VALUE"""),"JUNÍN")</f>
        <v>JUNÍN</v>
      </c>
      <c r="E952" s="25" t="str">
        <f ca="1">IFERROR(__xludf.DUMMYFUNCTION("""COMPUTED_VALUE"""),"HUÁNUCO")</f>
        <v>HUÁNUCO</v>
      </c>
      <c r="F952" s="25" t="str">
        <f ca="1">IFERROR(__xludf.DUMMYFUNCTION("""COMPUTED_VALUE"""),"DOS DE MAYO")</f>
        <v>DOS DE MAYO</v>
      </c>
      <c r="G952" s="25" t="str">
        <f ca="1">IFERROR(__xludf.DUMMYFUNCTION("""COMPUTED_VALUE"""),"RIPAN")</f>
        <v>RIPAN</v>
      </c>
      <c r="H952" s="25" t="str">
        <f ca="1">IFERROR(__xludf.DUMMYFUNCTION("""COMPUTED_VALUE"""),"RURAL")</f>
        <v>RURAL</v>
      </c>
      <c r="I952" s="25" t="str">
        <f ca="1">IFERROR(__xludf.DUMMYFUNCTION("""COMPUTED_VALUE"""),"Prioridad 4")</f>
        <v>Prioridad 4</v>
      </c>
      <c r="J952" s="43" t="s">
        <v>264</v>
      </c>
    </row>
    <row r="953" spans="2:10">
      <c r="B953" s="25" t="str">
        <f ca="1">IFERROR(__xludf.DUMMYFUNCTION("""COMPUTED_VALUE"""),"MUNICIPALIDAD DISTRITAL")</f>
        <v>MUNICIPALIDAD DISTRITAL</v>
      </c>
      <c r="C953" s="25" t="str">
        <f ca="1">IFERROR(__xludf.DUMMYFUNCTION("""COMPUTED_VALUE"""),"MUNICIPALIDAD DISTRITAL DE SHUNQUI")</f>
        <v>MUNICIPALIDAD DISTRITAL DE SHUNQUI</v>
      </c>
      <c r="D953" s="25" t="str">
        <f ca="1">IFERROR(__xludf.DUMMYFUNCTION("""COMPUTED_VALUE"""),"JUNÍN")</f>
        <v>JUNÍN</v>
      </c>
      <c r="E953" s="25" t="str">
        <f ca="1">IFERROR(__xludf.DUMMYFUNCTION("""COMPUTED_VALUE"""),"HUÁNUCO")</f>
        <v>HUÁNUCO</v>
      </c>
      <c r="F953" s="25" t="str">
        <f ca="1">IFERROR(__xludf.DUMMYFUNCTION("""COMPUTED_VALUE"""),"DOS DE MAYO")</f>
        <v>DOS DE MAYO</v>
      </c>
      <c r="G953" s="25" t="str">
        <f ca="1">IFERROR(__xludf.DUMMYFUNCTION("""COMPUTED_VALUE"""),"SHUNQUI")</f>
        <v>SHUNQUI</v>
      </c>
      <c r="H953" s="25" t="str">
        <f ca="1">IFERROR(__xludf.DUMMYFUNCTION("""COMPUTED_VALUE"""),"RURAL")</f>
        <v>RURAL</v>
      </c>
      <c r="I953" s="25" t="str">
        <f ca="1">IFERROR(__xludf.DUMMYFUNCTION("""COMPUTED_VALUE"""),"Prioridad 5")</f>
        <v>Prioridad 5</v>
      </c>
      <c r="J953" s="43" t="s">
        <v>264</v>
      </c>
    </row>
    <row r="954" spans="2:10">
      <c r="B954" s="25" t="str">
        <f ca="1">IFERROR(__xludf.DUMMYFUNCTION("""COMPUTED_VALUE"""),"MUNICIPALIDAD DISTRITAL")</f>
        <v>MUNICIPALIDAD DISTRITAL</v>
      </c>
      <c r="C954" s="25" t="str">
        <f ca="1">IFERROR(__xludf.DUMMYFUNCTION("""COMPUTED_VALUE"""),"MUNICIPALIDAD DISTRITAL DE SILLAPATA")</f>
        <v>MUNICIPALIDAD DISTRITAL DE SILLAPATA</v>
      </c>
      <c r="D954" s="25" t="str">
        <f ca="1">IFERROR(__xludf.DUMMYFUNCTION("""COMPUTED_VALUE"""),"JUNÍN")</f>
        <v>JUNÍN</v>
      </c>
      <c r="E954" s="25" t="str">
        <f ca="1">IFERROR(__xludf.DUMMYFUNCTION("""COMPUTED_VALUE"""),"HUÁNUCO")</f>
        <v>HUÁNUCO</v>
      </c>
      <c r="F954" s="25" t="str">
        <f ca="1">IFERROR(__xludf.DUMMYFUNCTION("""COMPUTED_VALUE"""),"DOS DE MAYO")</f>
        <v>DOS DE MAYO</v>
      </c>
      <c r="G954" s="25" t="str">
        <f ca="1">IFERROR(__xludf.DUMMYFUNCTION("""COMPUTED_VALUE"""),"SILLAPATA")</f>
        <v>SILLAPATA</v>
      </c>
      <c r="H954" s="25" t="str">
        <f ca="1">IFERROR(__xludf.DUMMYFUNCTION("""COMPUTED_VALUE"""),"RURAL")</f>
        <v>RURAL</v>
      </c>
      <c r="I954" s="25" t="str">
        <f ca="1">IFERROR(__xludf.DUMMYFUNCTION("""COMPUTED_VALUE"""),"Prioridad 5")</f>
        <v>Prioridad 5</v>
      </c>
      <c r="J954" s="43" t="s">
        <v>264</v>
      </c>
    </row>
    <row r="955" spans="2:10">
      <c r="B955" s="25" t="str">
        <f ca="1">IFERROR(__xludf.DUMMYFUNCTION("""COMPUTED_VALUE"""),"MUNICIPALIDAD DISTRITAL")</f>
        <v>MUNICIPALIDAD DISTRITAL</v>
      </c>
      <c r="C955" s="25" t="str">
        <f ca="1">IFERROR(__xludf.DUMMYFUNCTION("""COMPUTED_VALUE"""),"MUNICIPALIDAD DISTRITAL DE YANAS")</f>
        <v>MUNICIPALIDAD DISTRITAL DE YANAS</v>
      </c>
      <c r="D955" s="25" t="str">
        <f ca="1">IFERROR(__xludf.DUMMYFUNCTION("""COMPUTED_VALUE"""),"JUNÍN")</f>
        <v>JUNÍN</v>
      </c>
      <c r="E955" s="25" t="str">
        <f ca="1">IFERROR(__xludf.DUMMYFUNCTION("""COMPUTED_VALUE"""),"HUÁNUCO")</f>
        <v>HUÁNUCO</v>
      </c>
      <c r="F955" s="25" t="str">
        <f ca="1">IFERROR(__xludf.DUMMYFUNCTION("""COMPUTED_VALUE"""),"DOS DE MAYO")</f>
        <v>DOS DE MAYO</v>
      </c>
      <c r="G955" s="25" t="str">
        <f ca="1">IFERROR(__xludf.DUMMYFUNCTION("""COMPUTED_VALUE"""),"YANAS")</f>
        <v>YANAS</v>
      </c>
      <c r="H955" s="25" t="str">
        <f ca="1">IFERROR(__xludf.DUMMYFUNCTION("""COMPUTED_VALUE"""),"RURAL")</f>
        <v>RURAL</v>
      </c>
      <c r="I955" s="25" t="str">
        <f ca="1">IFERROR(__xludf.DUMMYFUNCTION("""COMPUTED_VALUE"""),"Prioridad 4")</f>
        <v>Prioridad 4</v>
      </c>
      <c r="J955" s="43" t="s">
        <v>264</v>
      </c>
    </row>
    <row r="956" spans="2:10">
      <c r="B956" s="25" t="str">
        <f ca="1">IFERROR(__xludf.DUMMYFUNCTION("""COMPUTED_VALUE"""),"MUNICIPALIDAD PROVINCIAL")</f>
        <v>MUNICIPALIDAD PROVINCIAL</v>
      </c>
      <c r="C956" s="25" t="str">
        <f ca="1">IFERROR(__xludf.DUMMYFUNCTION("""COMPUTED_VALUE"""),"MUNICIPALIDAD PROVINCIAL DE HUACAYBAMBA")</f>
        <v>MUNICIPALIDAD PROVINCIAL DE HUACAYBAMBA</v>
      </c>
      <c r="D956" s="25" t="str">
        <f ca="1">IFERROR(__xludf.DUMMYFUNCTION("""COMPUTED_VALUE"""),"LA LIBERTAD")</f>
        <v>LA LIBERTAD</v>
      </c>
      <c r="E956" s="25" t="str">
        <f ca="1">IFERROR(__xludf.DUMMYFUNCTION("""COMPUTED_VALUE"""),"HUÁNUCO")</f>
        <v>HUÁNUCO</v>
      </c>
      <c r="F956" s="25" t="str">
        <f ca="1">IFERROR(__xludf.DUMMYFUNCTION("""COMPUTED_VALUE"""),"HUACAYBAMBA")</f>
        <v>HUACAYBAMBA</v>
      </c>
      <c r="G956" s="25" t="str">
        <f ca="1">IFERROR(__xludf.DUMMYFUNCTION("""COMPUTED_VALUE"""),"HUACAYBAMBA")</f>
        <v>HUACAYBAMBA</v>
      </c>
      <c r="H956" s="25" t="str">
        <f ca="1">IFERROR(__xludf.DUMMYFUNCTION("""COMPUTED_VALUE"""),"RURAL")</f>
        <v>RURAL</v>
      </c>
      <c r="I956" s="25" t="str">
        <f ca="1">IFERROR(__xludf.DUMMYFUNCTION("""COMPUTED_VALUE"""),"Prioridad 2")</f>
        <v>Prioridad 2</v>
      </c>
      <c r="J956" s="43" t="s">
        <v>264</v>
      </c>
    </row>
    <row r="957" spans="2:10">
      <c r="B957" s="25" t="str">
        <f ca="1">IFERROR(__xludf.DUMMYFUNCTION("""COMPUTED_VALUE"""),"MUNICIPALIDAD DISTRITAL")</f>
        <v>MUNICIPALIDAD DISTRITAL</v>
      </c>
      <c r="C957" s="25" t="str">
        <f ca="1">IFERROR(__xludf.DUMMYFUNCTION("""COMPUTED_VALUE"""),"MUNICIPALIDAD DISTRITAL DE CANCHABAMBA")</f>
        <v>MUNICIPALIDAD DISTRITAL DE CANCHABAMBA</v>
      </c>
      <c r="D957" s="25" t="str">
        <f ca="1">IFERROR(__xludf.DUMMYFUNCTION("""COMPUTED_VALUE"""),"LA LIBERTAD")</f>
        <v>LA LIBERTAD</v>
      </c>
      <c r="E957" s="25" t="str">
        <f ca="1">IFERROR(__xludf.DUMMYFUNCTION("""COMPUTED_VALUE"""),"HUÁNUCO")</f>
        <v>HUÁNUCO</v>
      </c>
      <c r="F957" s="25" t="str">
        <f ca="1">IFERROR(__xludf.DUMMYFUNCTION("""COMPUTED_VALUE"""),"HUACAYBAMBA")</f>
        <v>HUACAYBAMBA</v>
      </c>
      <c r="G957" s="25" t="str">
        <f ca="1">IFERROR(__xludf.DUMMYFUNCTION("""COMPUTED_VALUE"""),"CANCHABAMBA")</f>
        <v>CANCHABAMBA</v>
      </c>
      <c r="H957" s="25" t="str">
        <f ca="1">IFERROR(__xludf.DUMMYFUNCTION("""COMPUTED_VALUE"""),"RURAL")</f>
        <v>RURAL</v>
      </c>
      <c r="I957" s="25" t="str">
        <f ca="1">IFERROR(__xludf.DUMMYFUNCTION("""COMPUTED_VALUE"""),"Prioridad 5")</f>
        <v>Prioridad 5</v>
      </c>
      <c r="J957" s="43" t="s">
        <v>264</v>
      </c>
    </row>
    <row r="958" spans="2:10">
      <c r="B958" s="25" t="str">
        <f ca="1">IFERROR(__xludf.DUMMYFUNCTION("""COMPUTED_VALUE"""),"MUNICIPALIDAD DISTRITAL")</f>
        <v>MUNICIPALIDAD DISTRITAL</v>
      </c>
      <c r="C958" s="25" t="str">
        <f ca="1">IFERROR(__xludf.DUMMYFUNCTION("""COMPUTED_VALUE"""),"MUNICIPALIDAD DISTRITAL DE COCHABAMBA EN HUACAYBAMBA")</f>
        <v>MUNICIPALIDAD DISTRITAL DE COCHABAMBA EN HUACAYBAMBA</v>
      </c>
      <c r="D958" s="25" t="str">
        <f ca="1">IFERROR(__xludf.DUMMYFUNCTION("""COMPUTED_VALUE"""),"LA LIBERTAD")</f>
        <v>LA LIBERTAD</v>
      </c>
      <c r="E958" s="25" t="str">
        <f ca="1">IFERROR(__xludf.DUMMYFUNCTION("""COMPUTED_VALUE"""),"HUÁNUCO")</f>
        <v>HUÁNUCO</v>
      </c>
      <c r="F958" s="25" t="str">
        <f ca="1">IFERROR(__xludf.DUMMYFUNCTION("""COMPUTED_VALUE"""),"HUACAYBAMBA")</f>
        <v>HUACAYBAMBA</v>
      </c>
      <c r="G958" s="25" t="str">
        <f ca="1">IFERROR(__xludf.DUMMYFUNCTION("""COMPUTED_VALUE"""),"COCHABAMBA")</f>
        <v>COCHABAMBA</v>
      </c>
      <c r="H958" s="25" t="str">
        <f ca="1">IFERROR(__xludf.DUMMYFUNCTION("""COMPUTED_VALUE"""),"RURAL")</f>
        <v>RURAL</v>
      </c>
      <c r="I958" s="25" t="str">
        <f ca="1">IFERROR(__xludf.DUMMYFUNCTION("""COMPUTED_VALUE"""),"Prioridad 5")</f>
        <v>Prioridad 5</v>
      </c>
      <c r="J958" s="43" t="s">
        <v>264</v>
      </c>
    </row>
    <row r="959" spans="2:10">
      <c r="B959" s="25" t="str">
        <f ca="1">IFERROR(__xludf.DUMMYFUNCTION("""COMPUTED_VALUE"""),"MUNICIPALIDAD DISTRITAL")</f>
        <v>MUNICIPALIDAD DISTRITAL</v>
      </c>
      <c r="C959" s="25" t="str">
        <f ca="1">IFERROR(__xludf.DUMMYFUNCTION("""COMPUTED_VALUE"""),"MUNICIPALIDAD DISTRITAL DE PINRA")</f>
        <v>MUNICIPALIDAD DISTRITAL DE PINRA</v>
      </c>
      <c r="D959" s="25" t="str">
        <f ca="1">IFERROR(__xludf.DUMMYFUNCTION("""COMPUTED_VALUE"""),"LA LIBERTAD")</f>
        <v>LA LIBERTAD</v>
      </c>
      <c r="E959" s="25" t="str">
        <f ca="1">IFERROR(__xludf.DUMMYFUNCTION("""COMPUTED_VALUE"""),"HUÁNUCO")</f>
        <v>HUÁNUCO</v>
      </c>
      <c r="F959" s="25" t="str">
        <f ca="1">IFERROR(__xludf.DUMMYFUNCTION("""COMPUTED_VALUE"""),"HUACAYBAMBA")</f>
        <v>HUACAYBAMBA</v>
      </c>
      <c r="G959" s="25" t="str">
        <f ca="1">IFERROR(__xludf.DUMMYFUNCTION("""COMPUTED_VALUE"""),"PINRA")</f>
        <v>PINRA</v>
      </c>
      <c r="H959" s="25" t="str">
        <f ca="1">IFERROR(__xludf.DUMMYFUNCTION("""COMPUTED_VALUE"""),"RURAL")</f>
        <v>RURAL</v>
      </c>
      <c r="I959" s="25" t="str">
        <f ca="1">IFERROR(__xludf.DUMMYFUNCTION("""COMPUTED_VALUE"""),"Prioridad 5")</f>
        <v>Prioridad 5</v>
      </c>
      <c r="J959" s="43" t="s">
        <v>264</v>
      </c>
    </row>
    <row r="960" spans="2:10">
      <c r="B960" s="25" t="str">
        <f ca="1">IFERROR(__xludf.DUMMYFUNCTION("""COMPUTED_VALUE"""),"MUNICIPALIDAD PROVINCIAL")</f>
        <v>MUNICIPALIDAD PROVINCIAL</v>
      </c>
      <c r="C960" s="25" t="str">
        <f ca="1">IFERROR(__xludf.DUMMYFUNCTION("""COMPUTED_VALUE"""),"MUNICIPALIDAD PROVINCIAL DE HUAMALIES")</f>
        <v>MUNICIPALIDAD PROVINCIAL DE HUAMALIES</v>
      </c>
      <c r="D960" s="25" t="str">
        <f ca="1">IFERROR(__xludf.DUMMYFUNCTION("""COMPUTED_VALUE"""),"JUNÍN")</f>
        <v>JUNÍN</v>
      </c>
      <c r="E960" s="25" t="str">
        <f ca="1">IFERROR(__xludf.DUMMYFUNCTION("""COMPUTED_VALUE"""),"HUÁNUCO")</f>
        <v>HUÁNUCO</v>
      </c>
      <c r="F960" s="25" t="str">
        <f ca="1">IFERROR(__xludf.DUMMYFUNCTION("""COMPUTED_VALUE"""),"HUAMALIES")</f>
        <v>HUAMALIES</v>
      </c>
      <c r="G960" s="25" t="str">
        <f ca="1">IFERROR(__xludf.DUMMYFUNCTION("""COMPUTED_VALUE"""),"LLATA")</f>
        <v>LLATA</v>
      </c>
      <c r="H960" s="25" t="str">
        <f ca="1">IFERROR(__xludf.DUMMYFUNCTION("""COMPUTED_VALUE"""),"RURAL")</f>
        <v>RURAL</v>
      </c>
      <c r="I960" s="25" t="str">
        <f ca="1">IFERROR(__xludf.DUMMYFUNCTION("""COMPUTED_VALUE"""),"Prioridad 2")</f>
        <v>Prioridad 2</v>
      </c>
      <c r="J960" s="43" t="s">
        <v>264</v>
      </c>
    </row>
    <row r="961" spans="2:10">
      <c r="B961" s="25" t="str">
        <f ca="1">IFERROR(__xludf.DUMMYFUNCTION("""COMPUTED_VALUE"""),"MUNICIPALIDAD DISTRITAL")</f>
        <v>MUNICIPALIDAD DISTRITAL</v>
      </c>
      <c r="C961" s="25" t="str">
        <f ca="1">IFERROR(__xludf.DUMMYFUNCTION("""COMPUTED_VALUE"""),"MUNICIPALIDAD DISTRITAL DE ARANCAY")</f>
        <v>MUNICIPALIDAD DISTRITAL DE ARANCAY</v>
      </c>
      <c r="D961" s="25" t="str">
        <f ca="1">IFERROR(__xludf.DUMMYFUNCTION("""COMPUTED_VALUE"""),"JUNÍN")</f>
        <v>JUNÍN</v>
      </c>
      <c r="E961" s="25" t="str">
        <f ca="1">IFERROR(__xludf.DUMMYFUNCTION("""COMPUTED_VALUE"""),"HUÁNUCO")</f>
        <v>HUÁNUCO</v>
      </c>
      <c r="F961" s="25" t="str">
        <f ca="1">IFERROR(__xludf.DUMMYFUNCTION("""COMPUTED_VALUE"""),"HUAMALIES")</f>
        <v>HUAMALIES</v>
      </c>
      <c r="G961" s="25" t="str">
        <f ca="1">IFERROR(__xludf.DUMMYFUNCTION("""COMPUTED_VALUE"""),"ARANCAY")</f>
        <v>ARANCAY</v>
      </c>
      <c r="H961" s="25" t="str">
        <f ca="1">IFERROR(__xludf.DUMMYFUNCTION("""COMPUTED_VALUE"""),"RURAL")</f>
        <v>RURAL</v>
      </c>
      <c r="I961" s="25" t="str">
        <f ca="1">IFERROR(__xludf.DUMMYFUNCTION("""COMPUTED_VALUE"""),"Prioridad 5")</f>
        <v>Prioridad 5</v>
      </c>
      <c r="J961" s="43" t="s">
        <v>264</v>
      </c>
    </row>
    <row r="962" spans="2:10">
      <c r="B962" s="25" t="str">
        <f ca="1">IFERROR(__xludf.DUMMYFUNCTION("""COMPUTED_VALUE"""),"MUNICIPALIDAD DISTRITAL")</f>
        <v>MUNICIPALIDAD DISTRITAL</v>
      </c>
      <c r="C962" s="25" t="str">
        <f ca="1">IFERROR(__xludf.DUMMYFUNCTION("""COMPUTED_VALUE"""),"MUNICIPALIDAD DISTRITAL DE CHAVIN DE PARIARCA")</f>
        <v>MUNICIPALIDAD DISTRITAL DE CHAVIN DE PARIARCA</v>
      </c>
      <c r="D962" s="25" t="str">
        <f ca="1">IFERROR(__xludf.DUMMYFUNCTION("""COMPUTED_VALUE"""),"JUNÍN")</f>
        <v>JUNÍN</v>
      </c>
      <c r="E962" s="25" t="str">
        <f ca="1">IFERROR(__xludf.DUMMYFUNCTION("""COMPUTED_VALUE"""),"HUÁNUCO")</f>
        <v>HUÁNUCO</v>
      </c>
      <c r="F962" s="25" t="str">
        <f ca="1">IFERROR(__xludf.DUMMYFUNCTION("""COMPUTED_VALUE"""),"HUAMALIES")</f>
        <v>HUAMALIES</v>
      </c>
      <c r="G962" s="25" t="str">
        <f ca="1">IFERROR(__xludf.DUMMYFUNCTION("""COMPUTED_VALUE"""),"CHAVIN DE PARIARCA")</f>
        <v>CHAVIN DE PARIARCA</v>
      </c>
      <c r="H962" s="25" t="str">
        <f ca="1">IFERROR(__xludf.DUMMYFUNCTION("""COMPUTED_VALUE"""),"RURAL")</f>
        <v>RURAL</v>
      </c>
      <c r="I962" s="25" t="str">
        <f ca="1">IFERROR(__xludf.DUMMYFUNCTION("""COMPUTED_VALUE"""),"Prioridad 5")</f>
        <v>Prioridad 5</v>
      </c>
      <c r="J962" s="43" t="s">
        <v>264</v>
      </c>
    </row>
    <row r="963" spans="2:10">
      <c r="B963" s="25" t="str">
        <f ca="1">IFERROR(__xludf.DUMMYFUNCTION("""COMPUTED_VALUE"""),"MUNICIPALIDAD DISTRITAL")</f>
        <v>MUNICIPALIDAD DISTRITAL</v>
      </c>
      <c r="C963" s="25" t="str">
        <f ca="1">IFERROR(__xludf.DUMMYFUNCTION("""COMPUTED_VALUE"""),"MUNICIPALIDAD DISTRITAL DE JACAS GRANDE")</f>
        <v>MUNICIPALIDAD DISTRITAL DE JACAS GRANDE</v>
      </c>
      <c r="D963" s="25" t="str">
        <f ca="1">IFERROR(__xludf.DUMMYFUNCTION("""COMPUTED_VALUE"""),"JUNÍN")</f>
        <v>JUNÍN</v>
      </c>
      <c r="E963" s="25" t="str">
        <f ca="1">IFERROR(__xludf.DUMMYFUNCTION("""COMPUTED_VALUE"""),"HUÁNUCO")</f>
        <v>HUÁNUCO</v>
      </c>
      <c r="F963" s="25" t="str">
        <f ca="1">IFERROR(__xludf.DUMMYFUNCTION("""COMPUTED_VALUE"""),"HUAMALIES")</f>
        <v>HUAMALIES</v>
      </c>
      <c r="G963" s="25" t="str">
        <f ca="1">IFERROR(__xludf.DUMMYFUNCTION("""COMPUTED_VALUE"""),"JACAS GRANDE")</f>
        <v>JACAS GRANDE</v>
      </c>
      <c r="H963" s="25" t="str">
        <f ca="1">IFERROR(__xludf.DUMMYFUNCTION("""COMPUTED_VALUE"""),"RURAL")</f>
        <v>RURAL</v>
      </c>
      <c r="I963" s="25" t="str">
        <f ca="1">IFERROR(__xludf.DUMMYFUNCTION("""COMPUTED_VALUE"""),"Prioridad 5")</f>
        <v>Prioridad 5</v>
      </c>
      <c r="J963" s="43" t="s">
        <v>264</v>
      </c>
    </row>
    <row r="964" spans="2:10">
      <c r="B964" s="25" t="str">
        <f ca="1">IFERROR(__xludf.DUMMYFUNCTION("""COMPUTED_VALUE"""),"MUNICIPALIDAD DISTRITAL")</f>
        <v>MUNICIPALIDAD DISTRITAL</v>
      </c>
      <c r="C964" s="25" t="str">
        <f ca="1">IFERROR(__xludf.DUMMYFUNCTION("""COMPUTED_VALUE"""),"MUNICIPALIDAD DISTRITAL DE JIRCAN")</f>
        <v>MUNICIPALIDAD DISTRITAL DE JIRCAN</v>
      </c>
      <c r="D964" s="25" t="str">
        <f ca="1">IFERROR(__xludf.DUMMYFUNCTION("""COMPUTED_VALUE"""),"JUNÍN")</f>
        <v>JUNÍN</v>
      </c>
      <c r="E964" s="25" t="str">
        <f ca="1">IFERROR(__xludf.DUMMYFUNCTION("""COMPUTED_VALUE"""),"HUÁNUCO")</f>
        <v>HUÁNUCO</v>
      </c>
      <c r="F964" s="25" t="str">
        <f ca="1">IFERROR(__xludf.DUMMYFUNCTION("""COMPUTED_VALUE"""),"HUAMALIES")</f>
        <v>HUAMALIES</v>
      </c>
      <c r="G964" s="25" t="str">
        <f ca="1">IFERROR(__xludf.DUMMYFUNCTION("""COMPUTED_VALUE"""),"JIRCAN")</f>
        <v>JIRCAN</v>
      </c>
      <c r="H964" s="25" t="str">
        <f ca="1">IFERROR(__xludf.DUMMYFUNCTION("""COMPUTED_VALUE"""),"RURAL")</f>
        <v>RURAL</v>
      </c>
      <c r="I964" s="25" t="str">
        <f ca="1">IFERROR(__xludf.DUMMYFUNCTION("""COMPUTED_VALUE"""),"Prioridad 5")</f>
        <v>Prioridad 5</v>
      </c>
      <c r="J964" s="43" t="s">
        <v>264</v>
      </c>
    </row>
    <row r="965" spans="2:10">
      <c r="B965" s="25" t="str">
        <f ca="1">IFERROR(__xludf.DUMMYFUNCTION("""COMPUTED_VALUE"""),"MUNICIPALIDAD DISTRITAL")</f>
        <v>MUNICIPALIDAD DISTRITAL</v>
      </c>
      <c r="C965" s="25" t="str">
        <f ca="1">IFERROR(__xludf.DUMMYFUNCTION("""COMPUTED_VALUE"""),"MUNICIPALIDAD DISTRITAL DE MIRAFLORES EN HUAMALIES")</f>
        <v>MUNICIPALIDAD DISTRITAL DE MIRAFLORES EN HUAMALIES</v>
      </c>
      <c r="D965" s="25" t="str">
        <f ca="1">IFERROR(__xludf.DUMMYFUNCTION("""COMPUTED_VALUE"""),"JUNÍN")</f>
        <v>JUNÍN</v>
      </c>
      <c r="E965" s="25" t="str">
        <f ca="1">IFERROR(__xludf.DUMMYFUNCTION("""COMPUTED_VALUE"""),"HUÁNUCO")</f>
        <v>HUÁNUCO</v>
      </c>
      <c r="F965" s="25" t="str">
        <f ca="1">IFERROR(__xludf.DUMMYFUNCTION("""COMPUTED_VALUE"""),"HUAMALIES")</f>
        <v>HUAMALIES</v>
      </c>
      <c r="G965" s="25" t="str">
        <f ca="1">IFERROR(__xludf.DUMMYFUNCTION("""COMPUTED_VALUE"""),"MIRAFLORES")</f>
        <v>MIRAFLORES</v>
      </c>
      <c r="H965" s="25" t="str">
        <f ca="1">IFERROR(__xludf.DUMMYFUNCTION("""COMPUTED_VALUE"""),"RURAL")</f>
        <v>RURAL</v>
      </c>
      <c r="I965" s="25" t="str">
        <f ca="1">IFERROR(__xludf.DUMMYFUNCTION("""COMPUTED_VALUE"""),"Prioridad 3")</f>
        <v>Prioridad 3</v>
      </c>
      <c r="J965" s="43" t="s">
        <v>264</v>
      </c>
    </row>
    <row r="966" spans="2:10">
      <c r="B966" s="25" t="str">
        <f ca="1">IFERROR(__xludf.DUMMYFUNCTION("""COMPUTED_VALUE"""),"MUNICIPALIDAD DISTRITAL")</f>
        <v>MUNICIPALIDAD DISTRITAL</v>
      </c>
      <c r="C966" s="25" t="str">
        <f ca="1">IFERROR(__xludf.DUMMYFUNCTION("""COMPUTED_VALUE"""),"MUNICIPALIDAD DISTRITAL DE MONZON")</f>
        <v>MUNICIPALIDAD DISTRITAL DE MONZON</v>
      </c>
      <c r="D966" s="25" t="str">
        <f ca="1">IFERROR(__xludf.DUMMYFUNCTION("""COMPUTED_VALUE"""),"JUNÍN")</f>
        <v>JUNÍN</v>
      </c>
      <c r="E966" s="25" t="str">
        <f ca="1">IFERROR(__xludf.DUMMYFUNCTION("""COMPUTED_VALUE"""),"HUÁNUCO")</f>
        <v>HUÁNUCO</v>
      </c>
      <c r="F966" s="25" t="str">
        <f ca="1">IFERROR(__xludf.DUMMYFUNCTION("""COMPUTED_VALUE"""),"HUAMALIES")</f>
        <v>HUAMALIES</v>
      </c>
      <c r="G966" s="25" t="str">
        <f ca="1">IFERROR(__xludf.DUMMYFUNCTION("""COMPUTED_VALUE"""),"MONZON")</f>
        <v>MONZON</v>
      </c>
      <c r="H966" s="25" t="str">
        <f ca="1">IFERROR(__xludf.DUMMYFUNCTION("""COMPUTED_VALUE"""),"RURAL")</f>
        <v>RURAL</v>
      </c>
      <c r="I966" s="25" t="str">
        <f ca="1">IFERROR(__xludf.DUMMYFUNCTION("""COMPUTED_VALUE"""),"Prioridad 5")</f>
        <v>Prioridad 5</v>
      </c>
      <c r="J966" s="43" t="s">
        <v>264</v>
      </c>
    </row>
    <row r="967" spans="2:10">
      <c r="B967" s="25" t="str">
        <f ca="1">IFERROR(__xludf.DUMMYFUNCTION("""COMPUTED_VALUE"""),"MUNICIPALIDAD DISTRITAL")</f>
        <v>MUNICIPALIDAD DISTRITAL</v>
      </c>
      <c r="C967" s="25" t="str">
        <f ca="1">IFERROR(__xludf.DUMMYFUNCTION("""COMPUTED_VALUE"""),"MUNICIPALIDAD DISTRITAL DE PUNCHAO")</f>
        <v>MUNICIPALIDAD DISTRITAL DE PUNCHAO</v>
      </c>
      <c r="D967" s="25" t="str">
        <f ca="1">IFERROR(__xludf.DUMMYFUNCTION("""COMPUTED_VALUE"""),"JUNÍN")</f>
        <v>JUNÍN</v>
      </c>
      <c r="E967" s="25" t="str">
        <f ca="1">IFERROR(__xludf.DUMMYFUNCTION("""COMPUTED_VALUE"""),"HUÁNUCO")</f>
        <v>HUÁNUCO</v>
      </c>
      <c r="F967" s="25" t="str">
        <f ca="1">IFERROR(__xludf.DUMMYFUNCTION("""COMPUTED_VALUE"""),"HUAMALIES")</f>
        <v>HUAMALIES</v>
      </c>
      <c r="G967" s="25" t="str">
        <f ca="1">IFERROR(__xludf.DUMMYFUNCTION("""COMPUTED_VALUE"""),"PUNCHAO")</f>
        <v>PUNCHAO</v>
      </c>
      <c r="H967" s="25" t="str">
        <f ca="1">IFERROR(__xludf.DUMMYFUNCTION("""COMPUTED_VALUE"""),"RURAL")</f>
        <v>RURAL</v>
      </c>
      <c r="I967" s="25" t="str">
        <f ca="1">IFERROR(__xludf.DUMMYFUNCTION("""COMPUTED_VALUE"""),"Prioridad 4")</f>
        <v>Prioridad 4</v>
      </c>
      <c r="J967" s="43" t="s">
        <v>264</v>
      </c>
    </row>
    <row r="968" spans="2:10">
      <c r="B968" s="25" t="str">
        <f ca="1">IFERROR(__xludf.DUMMYFUNCTION("""COMPUTED_VALUE"""),"MUNICIPALIDAD DISTRITAL")</f>
        <v>MUNICIPALIDAD DISTRITAL</v>
      </c>
      <c r="C968" s="25" t="str">
        <f ca="1">IFERROR(__xludf.DUMMYFUNCTION("""COMPUTED_VALUE"""),"MUNICIPALIDAD DISTRITAL DE PUÑOS")</f>
        <v>MUNICIPALIDAD DISTRITAL DE PUÑOS</v>
      </c>
      <c r="D968" s="25" t="str">
        <f ca="1">IFERROR(__xludf.DUMMYFUNCTION("""COMPUTED_VALUE"""),"JUNÍN")</f>
        <v>JUNÍN</v>
      </c>
      <c r="E968" s="25" t="str">
        <f ca="1">IFERROR(__xludf.DUMMYFUNCTION("""COMPUTED_VALUE"""),"HUÁNUCO")</f>
        <v>HUÁNUCO</v>
      </c>
      <c r="F968" s="25" t="str">
        <f ca="1">IFERROR(__xludf.DUMMYFUNCTION("""COMPUTED_VALUE"""),"HUAMALIES")</f>
        <v>HUAMALIES</v>
      </c>
      <c r="G968" s="25" t="str">
        <f ca="1">IFERROR(__xludf.DUMMYFUNCTION("""COMPUTED_VALUE"""),"PUÑOS")</f>
        <v>PUÑOS</v>
      </c>
      <c r="H968" s="25" t="str">
        <f ca="1">IFERROR(__xludf.DUMMYFUNCTION("""COMPUTED_VALUE"""),"RURAL")</f>
        <v>RURAL</v>
      </c>
      <c r="I968" s="25" t="str">
        <f ca="1">IFERROR(__xludf.DUMMYFUNCTION("""COMPUTED_VALUE"""),"Prioridad 5")</f>
        <v>Prioridad 5</v>
      </c>
      <c r="J968" s="43" t="s">
        <v>264</v>
      </c>
    </row>
    <row r="969" spans="2:10">
      <c r="B969" s="25" t="str">
        <f ca="1">IFERROR(__xludf.DUMMYFUNCTION("""COMPUTED_VALUE"""),"MUNICIPALIDAD DISTRITAL")</f>
        <v>MUNICIPALIDAD DISTRITAL</v>
      </c>
      <c r="C969" s="25" t="str">
        <f ca="1">IFERROR(__xludf.DUMMYFUNCTION("""COMPUTED_VALUE"""),"MUNICIPALIDAD DISTRITAL DE SINGA")</f>
        <v>MUNICIPALIDAD DISTRITAL DE SINGA</v>
      </c>
      <c r="D969" s="25" t="str">
        <f ca="1">IFERROR(__xludf.DUMMYFUNCTION("""COMPUTED_VALUE"""),"JUNÍN")</f>
        <v>JUNÍN</v>
      </c>
      <c r="E969" s="25" t="str">
        <f ca="1">IFERROR(__xludf.DUMMYFUNCTION("""COMPUTED_VALUE"""),"HUÁNUCO")</f>
        <v>HUÁNUCO</v>
      </c>
      <c r="F969" s="25" t="str">
        <f ca="1">IFERROR(__xludf.DUMMYFUNCTION("""COMPUTED_VALUE"""),"HUAMALIES")</f>
        <v>HUAMALIES</v>
      </c>
      <c r="G969" s="25" t="str">
        <f ca="1">IFERROR(__xludf.DUMMYFUNCTION("""COMPUTED_VALUE"""),"SINGA")</f>
        <v>SINGA</v>
      </c>
      <c r="H969" s="25" t="str">
        <f ca="1">IFERROR(__xludf.DUMMYFUNCTION("""COMPUTED_VALUE"""),"RURAL")</f>
        <v>RURAL</v>
      </c>
      <c r="I969" s="25" t="str">
        <f ca="1">IFERROR(__xludf.DUMMYFUNCTION("""COMPUTED_VALUE"""),"Prioridad 4")</f>
        <v>Prioridad 4</v>
      </c>
      <c r="J969" s="43" t="s">
        <v>264</v>
      </c>
    </row>
    <row r="970" spans="2:10">
      <c r="B970" s="25" t="str">
        <f ca="1">IFERROR(__xludf.DUMMYFUNCTION("""COMPUTED_VALUE"""),"MUNICIPALIDAD DISTRITAL")</f>
        <v>MUNICIPALIDAD DISTRITAL</v>
      </c>
      <c r="C970" s="25" t="str">
        <f ca="1">IFERROR(__xludf.DUMMYFUNCTION("""COMPUTED_VALUE"""),"MUNICIPALIDAD DISTRITAL DE TANTAMAYO")</f>
        <v>MUNICIPALIDAD DISTRITAL DE TANTAMAYO</v>
      </c>
      <c r="D970" s="25" t="str">
        <f ca="1">IFERROR(__xludf.DUMMYFUNCTION("""COMPUTED_VALUE"""),"JUNÍN")</f>
        <v>JUNÍN</v>
      </c>
      <c r="E970" s="25" t="str">
        <f ca="1">IFERROR(__xludf.DUMMYFUNCTION("""COMPUTED_VALUE"""),"HUÁNUCO")</f>
        <v>HUÁNUCO</v>
      </c>
      <c r="F970" s="25" t="str">
        <f ca="1">IFERROR(__xludf.DUMMYFUNCTION("""COMPUTED_VALUE"""),"HUAMALIES")</f>
        <v>HUAMALIES</v>
      </c>
      <c r="G970" s="25" t="str">
        <f ca="1">IFERROR(__xludf.DUMMYFUNCTION("""COMPUTED_VALUE"""),"TANTAMAYO")</f>
        <v>TANTAMAYO</v>
      </c>
      <c r="H970" s="25" t="str">
        <f ca="1">IFERROR(__xludf.DUMMYFUNCTION("""COMPUTED_VALUE"""),"RURAL")</f>
        <v>RURAL</v>
      </c>
      <c r="I970" s="25" t="str">
        <f ca="1">IFERROR(__xludf.DUMMYFUNCTION("""COMPUTED_VALUE"""),"Prioridad 4")</f>
        <v>Prioridad 4</v>
      </c>
      <c r="J970" s="43" t="s">
        <v>264</v>
      </c>
    </row>
    <row r="971" spans="2:10">
      <c r="B971" s="25" t="str">
        <f ca="1">IFERROR(__xludf.DUMMYFUNCTION("""COMPUTED_VALUE"""),"MUNICIPALIDAD PROVINCIAL")</f>
        <v>MUNICIPALIDAD PROVINCIAL</v>
      </c>
      <c r="C971" s="25" t="str">
        <f ca="1">IFERROR(__xludf.DUMMYFUNCTION("""COMPUTED_VALUE"""),"MUNICIPALIDAD PROVINCIAL DE HUANUCO")</f>
        <v>MUNICIPALIDAD PROVINCIAL DE HUANUCO</v>
      </c>
      <c r="D971" s="25" t="str">
        <f ca="1">IFERROR(__xludf.DUMMYFUNCTION("""COMPUTED_VALUE"""),"JUNÍN")</f>
        <v>JUNÍN</v>
      </c>
      <c r="E971" s="25" t="str">
        <f ca="1">IFERROR(__xludf.DUMMYFUNCTION("""COMPUTED_VALUE"""),"HUÁNUCO")</f>
        <v>HUÁNUCO</v>
      </c>
      <c r="F971" s="25" t="str">
        <f ca="1">IFERROR(__xludf.DUMMYFUNCTION("""COMPUTED_VALUE"""),"HUANUCO")</f>
        <v>HUANUCO</v>
      </c>
      <c r="G971" s="25" t="str">
        <f ca="1">IFERROR(__xludf.DUMMYFUNCTION("""COMPUTED_VALUE"""),"HUANUCO")</f>
        <v>HUANUCO</v>
      </c>
      <c r="H971" s="25" t="str">
        <f ca="1">IFERROR(__xludf.DUMMYFUNCTION("""COMPUTED_VALUE"""),"URBANO")</f>
        <v>URBANO</v>
      </c>
      <c r="I971" s="25" t="str">
        <f ca="1">IFERROR(__xludf.DUMMYFUNCTION("""COMPUTED_VALUE"""),"Prioridad 1")</f>
        <v>Prioridad 1</v>
      </c>
      <c r="J971" s="43" t="s">
        <v>264</v>
      </c>
    </row>
    <row r="972" spans="2:10">
      <c r="B972" s="25" t="str">
        <f ca="1">IFERROR(__xludf.DUMMYFUNCTION("""COMPUTED_VALUE"""),"MUNICIPALIDAD DISTRITAL")</f>
        <v>MUNICIPALIDAD DISTRITAL</v>
      </c>
      <c r="C972" s="25" t="str">
        <f ca="1">IFERROR(__xludf.DUMMYFUNCTION("""COMPUTED_VALUE"""),"MUNICIPALIDAD DISTRITAL DE AMARILIS")</f>
        <v>MUNICIPALIDAD DISTRITAL DE AMARILIS</v>
      </c>
      <c r="D972" s="25" t="str">
        <f ca="1">IFERROR(__xludf.DUMMYFUNCTION("""COMPUTED_VALUE"""),"JUNÍN")</f>
        <v>JUNÍN</v>
      </c>
      <c r="E972" s="25" t="str">
        <f ca="1">IFERROR(__xludf.DUMMYFUNCTION("""COMPUTED_VALUE"""),"HUÁNUCO")</f>
        <v>HUÁNUCO</v>
      </c>
      <c r="F972" s="25" t="str">
        <f ca="1">IFERROR(__xludf.DUMMYFUNCTION("""COMPUTED_VALUE"""),"HUANUCO")</f>
        <v>HUANUCO</v>
      </c>
      <c r="G972" s="25" t="str">
        <f ca="1">IFERROR(__xludf.DUMMYFUNCTION("""COMPUTED_VALUE"""),"AMARILIS")</f>
        <v>AMARILIS</v>
      </c>
      <c r="H972" s="25" t="str">
        <f ca="1">IFERROR(__xludf.DUMMYFUNCTION("""COMPUTED_VALUE"""),"URBANO")</f>
        <v>URBANO</v>
      </c>
      <c r="I972" s="25" t="str">
        <f ca="1">IFERROR(__xludf.DUMMYFUNCTION("""COMPUTED_VALUE"""),"Prioridad 1")</f>
        <v>Prioridad 1</v>
      </c>
      <c r="J972" s="43" t="s">
        <v>264</v>
      </c>
    </row>
    <row r="973" spans="2:10">
      <c r="B973" s="25" t="str">
        <f ca="1">IFERROR(__xludf.DUMMYFUNCTION("""COMPUTED_VALUE"""),"MUNICIPALIDAD DISTRITAL")</f>
        <v>MUNICIPALIDAD DISTRITAL</v>
      </c>
      <c r="C973" s="25" t="str">
        <f ca="1">IFERROR(__xludf.DUMMYFUNCTION("""COMPUTED_VALUE"""),"MUNICIPALIDAD DISTRITAL DE CHINCHAO")</f>
        <v>MUNICIPALIDAD DISTRITAL DE CHINCHAO</v>
      </c>
      <c r="D973" s="25" t="str">
        <f ca="1">IFERROR(__xludf.DUMMYFUNCTION("""COMPUTED_VALUE"""),"JUNÍN")</f>
        <v>JUNÍN</v>
      </c>
      <c r="E973" s="25" t="str">
        <f ca="1">IFERROR(__xludf.DUMMYFUNCTION("""COMPUTED_VALUE"""),"HUÁNUCO")</f>
        <v>HUÁNUCO</v>
      </c>
      <c r="F973" s="25" t="str">
        <f ca="1">IFERROR(__xludf.DUMMYFUNCTION("""COMPUTED_VALUE"""),"HUANUCO")</f>
        <v>HUANUCO</v>
      </c>
      <c r="G973" s="25" t="str">
        <f ca="1">IFERROR(__xludf.DUMMYFUNCTION("""COMPUTED_VALUE"""),"CHINCHAO")</f>
        <v>CHINCHAO</v>
      </c>
      <c r="H973" s="25" t="str">
        <f ca="1">IFERROR(__xludf.DUMMYFUNCTION("""COMPUTED_VALUE"""),"RURAL")</f>
        <v>RURAL</v>
      </c>
      <c r="I973" s="25" t="str">
        <f ca="1">IFERROR(__xludf.DUMMYFUNCTION("""COMPUTED_VALUE"""),"Prioridad 2")</f>
        <v>Prioridad 2</v>
      </c>
      <c r="J973" s="43" t="s">
        <v>264</v>
      </c>
    </row>
    <row r="974" spans="2:10">
      <c r="B974" s="25" t="str">
        <f ca="1">IFERROR(__xludf.DUMMYFUNCTION("""COMPUTED_VALUE"""),"MUNICIPALIDAD DISTRITAL")</f>
        <v>MUNICIPALIDAD DISTRITAL</v>
      </c>
      <c r="C974" s="25" t="str">
        <f ca="1">IFERROR(__xludf.DUMMYFUNCTION("""COMPUTED_VALUE"""),"MUNICIPALIDAD DISTRITAL DE CHURUBAMBA")</f>
        <v>MUNICIPALIDAD DISTRITAL DE CHURUBAMBA</v>
      </c>
      <c r="D974" s="25" t="str">
        <f ca="1">IFERROR(__xludf.DUMMYFUNCTION("""COMPUTED_VALUE"""),"JUNÍN")</f>
        <v>JUNÍN</v>
      </c>
      <c r="E974" s="25" t="str">
        <f ca="1">IFERROR(__xludf.DUMMYFUNCTION("""COMPUTED_VALUE"""),"HUÁNUCO")</f>
        <v>HUÁNUCO</v>
      </c>
      <c r="F974" s="25" t="str">
        <f ca="1">IFERROR(__xludf.DUMMYFUNCTION("""COMPUTED_VALUE"""),"HUANUCO")</f>
        <v>HUANUCO</v>
      </c>
      <c r="G974" s="25" t="str">
        <f ca="1">IFERROR(__xludf.DUMMYFUNCTION("""COMPUTED_VALUE"""),"CHURUBAMBA")</f>
        <v>CHURUBAMBA</v>
      </c>
      <c r="H974" s="25" t="str">
        <f ca="1">IFERROR(__xludf.DUMMYFUNCTION("""COMPUTED_VALUE"""),"RURAL")</f>
        <v>RURAL</v>
      </c>
      <c r="I974" s="25" t="str">
        <f ca="1">IFERROR(__xludf.DUMMYFUNCTION("""COMPUTED_VALUE"""),"Prioridad 5")</f>
        <v>Prioridad 5</v>
      </c>
      <c r="J974" s="43" t="s">
        <v>264</v>
      </c>
    </row>
    <row r="975" spans="2:10">
      <c r="B975" s="25" t="str">
        <f ca="1">IFERROR(__xludf.DUMMYFUNCTION("""COMPUTED_VALUE"""),"MUNICIPALIDAD DISTRITAL")</f>
        <v>MUNICIPALIDAD DISTRITAL</v>
      </c>
      <c r="C975" s="25" t="str">
        <f ca="1">IFERROR(__xludf.DUMMYFUNCTION("""COMPUTED_VALUE"""),"MUNICIPALIDAD DISTRITAL DE MARGOS")</f>
        <v>MUNICIPALIDAD DISTRITAL DE MARGOS</v>
      </c>
      <c r="D975" s="25" t="str">
        <f ca="1">IFERROR(__xludf.DUMMYFUNCTION("""COMPUTED_VALUE"""),"JUNÍN")</f>
        <v>JUNÍN</v>
      </c>
      <c r="E975" s="25" t="str">
        <f ca="1">IFERROR(__xludf.DUMMYFUNCTION("""COMPUTED_VALUE"""),"HUÁNUCO")</f>
        <v>HUÁNUCO</v>
      </c>
      <c r="F975" s="25" t="str">
        <f ca="1">IFERROR(__xludf.DUMMYFUNCTION("""COMPUTED_VALUE"""),"HUANUCO")</f>
        <v>HUANUCO</v>
      </c>
      <c r="G975" s="25" t="str">
        <f ca="1">IFERROR(__xludf.DUMMYFUNCTION("""COMPUTED_VALUE"""),"MARGOS")</f>
        <v>MARGOS</v>
      </c>
      <c r="H975" s="25" t="str">
        <f ca="1">IFERROR(__xludf.DUMMYFUNCTION("""COMPUTED_VALUE"""),"RURAL")</f>
        <v>RURAL</v>
      </c>
      <c r="I975" s="25" t="str">
        <f ca="1">IFERROR(__xludf.DUMMYFUNCTION("""COMPUTED_VALUE"""),"Prioridad 5")</f>
        <v>Prioridad 5</v>
      </c>
      <c r="J975" s="43" t="s">
        <v>264</v>
      </c>
    </row>
    <row r="976" spans="2:10">
      <c r="B976" s="25" t="str">
        <f ca="1">IFERROR(__xludf.DUMMYFUNCTION("""COMPUTED_VALUE"""),"MUNICIPALIDAD DISTRITAL")</f>
        <v>MUNICIPALIDAD DISTRITAL</v>
      </c>
      <c r="C976" s="25" t="str">
        <f ca="1">IFERROR(__xludf.DUMMYFUNCTION("""COMPUTED_VALUE"""),"MUNICIPALIDAD DISTRITAL DE PILLCO MARCA")</f>
        <v>MUNICIPALIDAD DISTRITAL DE PILLCO MARCA</v>
      </c>
      <c r="D976" s="25" t="str">
        <f ca="1">IFERROR(__xludf.DUMMYFUNCTION("""COMPUTED_VALUE"""),"JUNÍN")</f>
        <v>JUNÍN</v>
      </c>
      <c r="E976" s="25" t="str">
        <f ca="1">IFERROR(__xludf.DUMMYFUNCTION("""COMPUTED_VALUE"""),"HUÁNUCO")</f>
        <v>HUÁNUCO</v>
      </c>
      <c r="F976" s="25" t="str">
        <f ca="1">IFERROR(__xludf.DUMMYFUNCTION("""COMPUTED_VALUE"""),"HUANUCO")</f>
        <v>HUANUCO</v>
      </c>
      <c r="G976" s="25" t="str">
        <f ca="1">IFERROR(__xludf.DUMMYFUNCTION("""COMPUTED_VALUE"""),"PILLCO MARCA")</f>
        <v>PILLCO MARCA</v>
      </c>
      <c r="H976" s="25" t="str">
        <f ca="1">IFERROR(__xludf.DUMMYFUNCTION("""COMPUTED_VALUE"""),"URBANO")</f>
        <v>URBANO</v>
      </c>
      <c r="I976" s="25" t="str">
        <f ca="1">IFERROR(__xludf.DUMMYFUNCTION("""COMPUTED_VALUE"""),"Prioridad 1")</f>
        <v>Prioridad 1</v>
      </c>
      <c r="J976" s="43" t="s">
        <v>264</v>
      </c>
    </row>
    <row r="977" spans="2:10">
      <c r="B977" s="25" t="str">
        <f ca="1">IFERROR(__xludf.DUMMYFUNCTION("""COMPUTED_VALUE"""),"MUNICIPALIDAD DISTRITAL")</f>
        <v>MUNICIPALIDAD DISTRITAL</v>
      </c>
      <c r="C977" s="25" t="str">
        <f ca="1">IFERROR(__xludf.DUMMYFUNCTION("""COMPUTED_VALUE"""),"MUNICIPALIDAD DISTRITAL DE QUISQUI")</f>
        <v>MUNICIPALIDAD DISTRITAL DE QUISQUI</v>
      </c>
      <c r="D977" s="25" t="str">
        <f ca="1">IFERROR(__xludf.DUMMYFUNCTION("""COMPUTED_VALUE"""),"JUNÍN")</f>
        <v>JUNÍN</v>
      </c>
      <c r="E977" s="25" t="str">
        <f ca="1">IFERROR(__xludf.DUMMYFUNCTION("""COMPUTED_VALUE"""),"HUÁNUCO")</f>
        <v>HUÁNUCO</v>
      </c>
      <c r="F977" s="25" t="str">
        <f ca="1">IFERROR(__xludf.DUMMYFUNCTION("""COMPUTED_VALUE"""),"HUANUCO")</f>
        <v>HUANUCO</v>
      </c>
      <c r="G977" s="25" t="str">
        <f ca="1">IFERROR(__xludf.DUMMYFUNCTION("""COMPUTED_VALUE"""),"QUISQUI")</f>
        <v>QUISQUI</v>
      </c>
      <c r="H977" s="25" t="str">
        <f ca="1">IFERROR(__xludf.DUMMYFUNCTION("""COMPUTED_VALUE"""),"RURAL")</f>
        <v>RURAL</v>
      </c>
      <c r="I977" s="25" t="str">
        <f ca="1">IFERROR(__xludf.DUMMYFUNCTION("""COMPUTED_VALUE"""),"Prioridad 5")</f>
        <v>Prioridad 5</v>
      </c>
      <c r="J977" s="43" t="s">
        <v>264</v>
      </c>
    </row>
    <row r="978" spans="2:10">
      <c r="B978" s="25" t="str">
        <f ca="1">IFERROR(__xludf.DUMMYFUNCTION("""COMPUTED_VALUE"""),"MUNICIPALIDAD DISTRITAL")</f>
        <v>MUNICIPALIDAD DISTRITAL</v>
      </c>
      <c r="C978" s="25" t="str">
        <f ca="1">IFERROR(__xludf.DUMMYFUNCTION("""COMPUTED_VALUE"""),"MUNICIPALIDAD DISTRITAL DE SAN FRANCISCO DE CAYRAN")</f>
        <v>MUNICIPALIDAD DISTRITAL DE SAN FRANCISCO DE CAYRAN</v>
      </c>
      <c r="D978" s="25" t="str">
        <f ca="1">IFERROR(__xludf.DUMMYFUNCTION("""COMPUTED_VALUE"""),"JUNÍN")</f>
        <v>JUNÍN</v>
      </c>
      <c r="E978" s="25" t="str">
        <f ca="1">IFERROR(__xludf.DUMMYFUNCTION("""COMPUTED_VALUE"""),"HUÁNUCO")</f>
        <v>HUÁNUCO</v>
      </c>
      <c r="F978" s="25" t="str">
        <f ca="1">IFERROR(__xludf.DUMMYFUNCTION("""COMPUTED_VALUE"""),"HUANUCO")</f>
        <v>HUANUCO</v>
      </c>
      <c r="G978" s="25" t="str">
        <f ca="1">IFERROR(__xludf.DUMMYFUNCTION("""COMPUTED_VALUE"""),"SAN FRANCISCO DE CAYRAN")</f>
        <v>SAN FRANCISCO DE CAYRAN</v>
      </c>
      <c r="H978" s="25" t="str">
        <f ca="1">IFERROR(__xludf.DUMMYFUNCTION("""COMPUTED_VALUE"""),"RURAL")</f>
        <v>RURAL</v>
      </c>
      <c r="I978" s="25" t="str">
        <f ca="1">IFERROR(__xludf.DUMMYFUNCTION("""COMPUTED_VALUE"""),"Prioridad 5")</f>
        <v>Prioridad 5</v>
      </c>
      <c r="J978" s="43" t="s">
        <v>264</v>
      </c>
    </row>
    <row r="979" spans="2:10">
      <c r="B979" s="25" t="str">
        <f ca="1">IFERROR(__xludf.DUMMYFUNCTION("""COMPUTED_VALUE"""),"MUNICIPALIDAD DISTRITAL")</f>
        <v>MUNICIPALIDAD DISTRITAL</v>
      </c>
      <c r="C979" s="25" t="str">
        <f ca="1">IFERROR(__xludf.DUMMYFUNCTION("""COMPUTED_VALUE"""),"MUNICIPALIDAD DISTRITAL DE SAN PABLO DE PILLAO")</f>
        <v>MUNICIPALIDAD DISTRITAL DE SAN PABLO DE PILLAO</v>
      </c>
      <c r="D979" s="25" t="str">
        <f ca="1">IFERROR(__xludf.DUMMYFUNCTION("""COMPUTED_VALUE"""),"JUNÍN")</f>
        <v>JUNÍN</v>
      </c>
      <c r="E979" s="25" t="str">
        <f ca="1">IFERROR(__xludf.DUMMYFUNCTION("""COMPUTED_VALUE"""),"HUÁNUCO")</f>
        <v>HUÁNUCO</v>
      </c>
      <c r="F979" s="25" t="str">
        <f ca="1">IFERROR(__xludf.DUMMYFUNCTION("""COMPUTED_VALUE"""),"HUANUCO")</f>
        <v>HUANUCO</v>
      </c>
      <c r="G979" s="25" t="str">
        <f ca="1">IFERROR(__xludf.DUMMYFUNCTION("""COMPUTED_VALUE"""),"SAN PABLO DE PILLAO")</f>
        <v>SAN PABLO DE PILLAO</v>
      </c>
      <c r="H979" s="25" t="str">
        <f ca="1">IFERROR(__xludf.DUMMYFUNCTION("""COMPUTED_VALUE"""),"RURAL")</f>
        <v>RURAL</v>
      </c>
      <c r="I979" s="25" t="str">
        <f ca="1">IFERROR(__xludf.DUMMYFUNCTION("""COMPUTED_VALUE"""),"Prioridad 5")</f>
        <v>Prioridad 5</v>
      </c>
      <c r="J979" s="43" t="s">
        <v>264</v>
      </c>
    </row>
    <row r="980" spans="2:10">
      <c r="B980" s="25" t="str">
        <f ca="1">IFERROR(__xludf.DUMMYFUNCTION("""COMPUTED_VALUE"""),"MUNICIPALIDAD DISTRITAL")</f>
        <v>MUNICIPALIDAD DISTRITAL</v>
      </c>
      <c r="C980" s="25" t="str">
        <f ca="1">IFERROR(__xludf.DUMMYFUNCTION("""COMPUTED_VALUE"""),"MUNICIPALIDAD DISTRITAL DE SAN PEDRO DE CHAULAN")</f>
        <v>MUNICIPALIDAD DISTRITAL DE SAN PEDRO DE CHAULAN</v>
      </c>
      <c r="D980" s="25" t="str">
        <f ca="1">IFERROR(__xludf.DUMMYFUNCTION("""COMPUTED_VALUE"""),"JUNÍN")</f>
        <v>JUNÍN</v>
      </c>
      <c r="E980" s="25" t="str">
        <f ca="1">IFERROR(__xludf.DUMMYFUNCTION("""COMPUTED_VALUE"""),"HUÁNUCO")</f>
        <v>HUÁNUCO</v>
      </c>
      <c r="F980" s="25" t="str">
        <f ca="1">IFERROR(__xludf.DUMMYFUNCTION("""COMPUTED_VALUE"""),"HUANUCO")</f>
        <v>HUANUCO</v>
      </c>
      <c r="G980" s="25" t="str">
        <f ca="1">IFERROR(__xludf.DUMMYFUNCTION("""COMPUTED_VALUE"""),"SAN PEDRO DE CHAULAN")</f>
        <v>SAN PEDRO DE CHAULAN</v>
      </c>
      <c r="H980" s="25" t="str">
        <f ca="1">IFERROR(__xludf.DUMMYFUNCTION("""COMPUTED_VALUE"""),"RURAL")</f>
        <v>RURAL</v>
      </c>
      <c r="I980" s="25" t="str">
        <f ca="1">IFERROR(__xludf.DUMMYFUNCTION("""COMPUTED_VALUE"""),"Prioridad 5")</f>
        <v>Prioridad 5</v>
      </c>
      <c r="J980" s="43" t="s">
        <v>264</v>
      </c>
    </row>
    <row r="981" spans="2:10">
      <c r="B981" s="25" t="str">
        <f ca="1">IFERROR(__xludf.DUMMYFUNCTION("""COMPUTED_VALUE"""),"MUNICIPALIDAD DISTRITAL")</f>
        <v>MUNICIPALIDAD DISTRITAL</v>
      </c>
      <c r="C981" s="25" t="str">
        <f ca="1">IFERROR(__xludf.DUMMYFUNCTION("""COMPUTED_VALUE"""),"MUNICIPALIDAD DISTRITAL DE SANTA MARIA DEL VALLE")</f>
        <v>MUNICIPALIDAD DISTRITAL DE SANTA MARIA DEL VALLE</v>
      </c>
      <c r="D981" s="25" t="str">
        <f ca="1">IFERROR(__xludf.DUMMYFUNCTION("""COMPUTED_VALUE"""),"JUNÍN")</f>
        <v>JUNÍN</v>
      </c>
      <c r="E981" s="25" t="str">
        <f ca="1">IFERROR(__xludf.DUMMYFUNCTION("""COMPUTED_VALUE"""),"HUÁNUCO")</f>
        <v>HUÁNUCO</v>
      </c>
      <c r="F981" s="25" t="str">
        <f ca="1">IFERROR(__xludf.DUMMYFUNCTION("""COMPUTED_VALUE"""),"HUANUCO")</f>
        <v>HUANUCO</v>
      </c>
      <c r="G981" s="25" t="str">
        <f ca="1">IFERROR(__xludf.DUMMYFUNCTION("""COMPUTED_VALUE"""),"SANTA MARIA DEL VALLE")</f>
        <v>SANTA MARIA DEL VALLE</v>
      </c>
      <c r="H981" s="25" t="str">
        <f ca="1">IFERROR(__xludf.DUMMYFUNCTION("""COMPUTED_VALUE"""),"RURAL")</f>
        <v>RURAL</v>
      </c>
      <c r="I981" s="25" t="str">
        <f ca="1">IFERROR(__xludf.DUMMYFUNCTION("""COMPUTED_VALUE"""),"Prioridad 5")</f>
        <v>Prioridad 5</v>
      </c>
      <c r="J981" s="43" t="s">
        <v>264</v>
      </c>
    </row>
    <row r="982" spans="2:10">
      <c r="B982" s="25" t="str">
        <f ca="1">IFERROR(__xludf.DUMMYFUNCTION("""COMPUTED_VALUE"""),"MUNICIPALIDAD DISTRITAL")</f>
        <v>MUNICIPALIDAD DISTRITAL</v>
      </c>
      <c r="C982" s="25" t="str">
        <f ca="1">IFERROR(__xludf.DUMMYFUNCTION("""COMPUTED_VALUE"""),"MUNICIPALIDAD DISTRITAL DE YACUS")</f>
        <v>MUNICIPALIDAD DISTRITAL DE YACUS</v>
      </c>
      <c r="D982" s="25" t="str">
        <f ca="1">IFERROR(__xludf.DUMMYFUNCTION("""COMPUTED_VALUE"""),"JUNÍN")</f>
        <v>JUNÍN</v>
      </c>
      <c r="E982" s="25" t="str">
        <f ca="1">IFERROR(__xludf.DUMMYFUNCTION("""COMPUTED_VALUE"""),"HUÁNUCO")</f>
        <v>HUÁNUCO</v>
      </c>
      <c r="F982" s="25" t="str">
        <f ca="1">IFERROR(__xludf.DUMMYFUNCTION("""COMPUTED_VALUE"""),"HUANUCO")</f>
        <v>HUANUCO</v>
      </c>
      <c r="G982" s="25" t="str">
        <f ca="1">IFERROR(__xludf.DUMMYFUNCTION("""COMPUTED_VALUE"""),"YACUS")</f>
        <v>YACUS</v>
      </c>
      <c r="H982" s="25" t="str">
        <f ca="1">IFERROR(__xludf.DUMMYFUNCTION("""COMPUTED_VALUE"""),"RURAL")</f>
        <v>RURAL</v>
      </c>
      <c r="I982" s="25" t="str">
        <f ca="1">IFERROR(__xludf.DUMMYFUNCTION("""COMPUTED_VALUE"""),"Prioridad 5")</f>
        <v>Prioridad 5</v>
      </c>
      <c r="J982" s="43" t="s">
        <v>264</v>
      </c>
    </row>
    <row r="983" spans="2:10">
      <c r="B983" s="25" t="str">
        <f ca="1">IFERROR(__xludf.DUMMYFUNCTION("""COMPUTED_VALUE"""),"MUNICIPALIDAD DISTRITAL")</f>
        <v>MUNICIPALIDAD DISTRITAL</v>
      </c>
      <c r="C983" s="25" t="str">
        <f ca="1">IFERROR(__xludf.DUMMYFUNCTION("""COMPUTED_VALUE"""),"MUNICIPALIDAD DISTRITAL DE YARUMAYO")</f>
        <v>MUNICIPALIDAD DISTRITAL DE YARUMAYO</v>
      </c>
      <c r="D983" s="25" t="str">
        <f ca="1">IFERROR(__xludf.DUMMYFUNCTION("""COMPUTED_VALUE"""),"JUNÍN")</f>
        <v>JUNÍN</v>
      </c>
      <c r="E983" s="25" t="str">
        <f ca="1">IFERROR(__xludf.DUMMYFUNCTION("""COMPUTED_VALUE"""),"HUÁNUCO")</f>
        <v>HUÁNUCO</v>
      </c>
      <c r="F983" s="25" t="str">
        <f ca="1">IFERROR(__xludf.DUMMYFUNCTION("""COMPUTED_VALUE"""),"HUANUCO")</f>
        <v>HUANUCO</v>
      </c>
      <c r="G983" s="25" t="str">
        <f ca="1">IFERROR(__xludf.DUMMYFUNCTION("""COMPUTED_VALUE"""),"YARUMAYO")</f>
        <v>YARUMAYO</v>
      </c>
      <c r="H983" s="25" t="str">
        <f ca="1">IFERROR(__xludf.DUMMYFUNCTION("""COMPUTED_VALUE"""),"RURAL")</f>
        <v>RURAL</v>
      </c>
      <c r="I983" s="25" t="str">
        <f ca="1">IFERROR(__xludf.DUMMYFUNCTION("""COMPUTED_VALUE"""),"Prioridad 4")</f>
        <v>Prioridad 4</v>
      </c>
      <c r="J983" s="43" t="s">
        <v>264</v>
      </c>
    </row>
    <row r="984" spans="2:10">
      <c r="B984" s="25" t="str">
        <f ca="1">IFERROR(__xludf.DUMMYFUNCTION("""COMPUTED_VALUE"""),"GOBIERNO REGIONAL")</f>
        <v>GOBIERNO REGIONAL</v>
      </c>
      <c r="C984" s="25" t="str">
        <f ca="1">IFERROR(__xludf.DUMMYFUNCTION("""COMPUTED_VALUE"""),"GOBIERNO REGIONAL DE HUÁNUCO")</f>
        <v>GOBIERNO REGIONAL DE HUÁNUCO</v>
      </c>
      <c r="D984" s="25" t="str">
        <f ca="1">IFERROR(__xludf.DUMMYFUNCTION("""COMPUTED_VALUE"""),"JUNÍN")</f>
        <v>JUNÍN</v>
      </c>
      <c r="E984" s="25" t="str">
        <f ca="1">IFERROR(__xludf.DUMMYFUNCTION("""COMPUTED_VALUE"""),"HUÁNUCO")</f>
        <v>HUÁNUCO</v>
      </c>
      <c r="F984" s="25" t="str">
        <f ca="1">IFERROR(__xludf.DUMMYFUNCTION("""COMPUTED_VALUE"""),"HUANUCO")</f>
        <v>HUANUCO</v>
      </c>
      <c r="G984" s="25" t="str">
        <f ca="1">IFERROR(__xludf.DUMMYFUNCTION("""COMPUTED_VALUE"""),"HUANUCO")</f>
        <v>HUANUCO</v>
      </c>
      <c r="H984" s="25" t="str">
        <f ca="1">IFERROR(__xludf.DUMMYFUNCTION("""COMPUTED_VALUE"""),"URBANO")</f>
        <v>URBANO</v>
      </c>
      <c r="I984" s="25" t="str">
        <f ca="1">IFERROR(__xludf.DUMMYFUNCTION("""COMPUTED_VALUE"""),"Prioridad 1")</f>
        <v>Prioridad 1</v>
      </c>
      <c r="J984" s="43" t="s">
        <v>264</v>
      </c>
    </row>
    <row r="985" spans="2:10">
      <c r="B985" s="25" t="str">
        <f ca="1">IFERROR(__xludf.DUMMYFUNCTION("""COMPUTED_VALUE"""),"MUNICIPALIDAD PROVINCIAL")</f>
        <v>MUNICIPALIDAD PROVINCIAL</v>
      </c>
      <c r="C985" s="25" t="str">
        <f ca="1">IFERROR(__xludf.DUMMYFUNCTION("""COMPUTED_VALUE"""),"MUNICIPALIDAD PROVINCIAL DE LAURICOCHA")</f>
        <v>MUNICIPALIDAD PROVINCIAL DE LAURICOCHA</v>
      </c>
      <c r="D985" s="25" t="str">
        <f ca="1">IFERROR(__xludf.DUMMYFUNCTION("""COMPUTED_VALUE"""),"JUNÍN")</f>
        <v>JUNÍN</v>
      </c>
      <c r="E985" s="25" t="str">
        <f ca="1">IFERROR(__xludf.DUMMYFUNCTION("""COMPUTED_VALUE"""),"HUÁNUCO")</f>
        <v>HUÁNUCO</v>
      </c>
      <c r="F985" s="25" t="str">
        <f ca="1">IFERROR(__xludf.DUMMYFUNCTION("""COMPUTED_VALUE"""),"LAURICOCHA")</f>
        <v>LAURICOCHA</v>
      </c>
      <c r="G985" s="25" t="str">
        <f ca="1">IFERROR(__xludf.DUMMYFUNCTION("""COMPUTED_VALUE"""),"JESUS")</f>
        <v>JESUS</v>
      </c>
      <c r="H985" s="25" t="str">
        <f ca="1">IFERROR(__xludf.DUMMYFUNCTION("""COMPUTED_VALUE"""),"RURAL")</f>
        <v>RURAL</v>
      </c>
      <c r="I985" s="25" t="str">
        <f ca="1">IFERROR(__xludf.DUMMYFUNCTION("""COMPUTED_VALUE"""),"Prioridad 2")</f>
        <v>Prioridad 2</v>
      </c>
      <c r="J985" s="43" t="s">
        <v>264</v>
      </c>
    </row>
    <row r="986" spans="2:10">
      <c r="B986" s="25" t="str">
        <f ca="1">IFERROR(__xludf.DUMMYFUNCTION("""COMPUTED_VALUE"""),"MUNICIPALIDAD DISTRITAL")</f>
        <v>MUNICIPALIDAD DISTRITAL</v>
      </c>
      <c r="C986" s="25" t="str">
        <f ca="1">IFERROR(__xludf.DUMMYFUNCTION("""COMPUTED_VALUE"""),"MUNICIPALIDAD DISTRITAL DE BAÑOS")</f>
        <v>MUNICIPALIDAD DISTRITAL DE BAÑOS</v>
      </c>
      <c r="D986" s="25" t="str">
        <f ca="1">IFERROR(__xludf.DUMMYFUNCTION("""COMPUTED_VALUE"""),"JUNÍN")</f>
        <v>JUNÍN</v>
      </c>
      <c r="E986" s="25" t="str">
        <f ca="1">IFERROR(__xludf.DUMMYFUNCTION("""COMPUTED_VALUE"""),"HUÁNUCO")</f>
        <v>HUÁNUCO</v>
      </c>
      <c r="F986" s="25" t="str">
        <f ca="1">IFERROR(__xludf.DUMMYFUNCTION("""COMPUTED_VALUE"""),"LAURICOCHA")</f>
        <v>LAURICOCHA</v>
      </c>
      <c r="G986" s="25" t="str">
        <f ca="1">IFERROR(__xludf.DUMMYFUNCTION("""COMPUTED_VALUE"""),"BAÑOS")</f>
        <v>BAÑOS</v>
      </c>
      <c r="H986" s="25" t="str">
        <f ca="1">IFERROR(__xludf.DUMMYFUNCTION("""COMPUTED_VALUE"""),"RURAL")</f>
        <v>RURAL</v>
      </c>
      <c r="I986" s="25" t="str">
        <f ca="1">IFERROR(__xludf.DUMMYFUNCTION("""COMPUTED_VALUE"""),"Prioridad 5")</f>
        <v>Prioridad 5</v>
      </c>
      <c r="J986" s="43" t="s">
        <v>264</v>
      </c>
    </row>
    <row r="987" spans="2:10">
      <c r="B987" s="25" t="str">
        <f ca="1">IFERROR(__xludf.DUMMYFUNCTION("""COMPUTED_VALUE"""),"MUNICIPALIDAD DISTRITAL")</f>
        <v>MUNICIPALIDAD DISTRITAL</v>
      </c>
      <c r="C987" s="25" t="str">
        <f ca="1">IFERROR(__xludf.DUMMYFUNCTION("""COMPUTED_VALUE"""),"MUNICIPALIDAD DISTRITAL DE JIVIA")</f>
        <v>MUNICIPALIDAD DISTRITAL DE JIVIA</v>
      </c>
      <c r="D987" s="25" t="str">
        <f ca="1">IFERROR(__xludf.DUMMYFUNCTION("""COMPUTED_VALUE"""),"JUNÍN")</f>
        <v>JUNÍN</v>
      </c>
      <c r="E987" s="25" t="str">
        <f ca="1">IFERROR(__xludf.DUMMYFUNCTION("""COMPUTED_VALUE"""),"HUÁNUCO")</f>
        <v>HUÁNUCO</v>
      </c>
      <c r="F987" s="25" t="str">
        <f ca="1">IFERROR(__xludf.DUMMYFUNCTION("""COMPUTED_VALUE"""),"LAURICOCHA")</f>
        <v>LAURICOCHA</v>
      </c>
      <c r="G987" s="25" t="str">
        <f ca="1">IFERROR(__xludf.DUMMYFUNCTION("""COMPUTED_VALUE"""),"JIVIA")</f>
        <v>JIVIA</v>
      </c>
      <c r="H987" s="25" t="str">
        <f ca="1">IFERROR(__xludf.DUMMYFUNCTION("""COMPUTED_VALUE"""),"RURAL")</f>
        <v>RURAL</v>
      </c>
      <c r="I987" s="25" t="str">
        <f ca="1">IFERROR(__xludf.DUMMYFUNCTION("""COMPUTED_VALUE"""),"Prioridad 5")</f>
        <v>Prioridad 5</v>
      </c>
      <c r="J987" s="43" t="s">
        <v>264</v>
      </c>
    </row>
    <row r="988" spans="2:10">
      <c r="B988" s="25" t="str">
        <f ca="1">IFERROR(__xludf.DUMMYFUNCTION("""COMPUTED_VALUE"""),"MUNICIPALIDAD DISTRITAL")</f>
        <v>MUNICIPALIDAD DISTRITAL</v>
      </c>
      <c r="C988" s="25" t="str">
        <f ca="1">IFERROR(__xludf.DUMMYFUNCTION("""COMPUTED_VALUE"""),"MUNICIPALIDAD DISTRITAL DE QUEROPALCA")</f>
        <v>MUNICIPALIDAD DISTRITAL DE QUEROPALCA</v>
      </c>
      <c r="D988" s="25" t="str">
        <f ca="1">IFERROR(__xludf.DUMMYFUNCTION("""COMPUTED_VALUE"""),"JUNÍN")</f>
        <v>JUNÍN</v>
      </c>
      <c r="E988" s="25" t="str">
        <f ca="1">IFERROR(__xludf.DUMMYFUNCTION("""COMPUTED_VALUE"""),"HUÁNUCO")</f>
        <v>HUÁNUCO</v>
      </c>
      <c r="F988" s="25" t="str">
        <f ca="1">IFERROR(__xludf.DUMMYFUNCTION("""COMPUTED_VALUE"""),"LAURICOCHA")</f>
        <v>LAURICOCHA</v>
      </c>
      <c r="G988" s="25" t="str">
        <f ca="1">IFERROR(__xludf.DUMMYFUNCTION("""COMPUTED_VALUE"""),"QUEROPALCA")</f>
        <v>QUEROPALCA</v>
      </c>
      <c r="H988" s="25" t="str">
        <f ca="1">IFERROR(__xludf.DUMMYFUNCTION("""COMPUTED_VALUE"""),"RURAL")</f>
        <v>RURAL</v>
      </c>
      <c r="I988" s="25" t="str">
        <f ca="1">IFERROR(__xludf.DUMMYFUNCTION("""COMPUTED_VALUE"""),"Prioridad 4")</f>
        <v>Prioridad 4</v>
      </c>
      <c r="J988" s="43" t="s">
        <v>264</v>
      </c>
    </row>
    <row r="989" spans="2:10">
      <c r="B989" s="25" t="str">
        <f ca="1">IFERROR(__xludf.DUMMYFUNCTION("""COMPUTED_VALUE"""),"MUNICIPALIDAD DISTRITAL")</f>
        <v>MUNICIPALIDAD DISTRITAL</v>
      </c>
      <c r="C989" s="25" t="str">
        <f ca="1">IFERROR(__xludf.DUMMYFUNCTION("""COMPUTED_VALUE"""),"MUNICIPALIDAD DISTRITAL DE RONDOS")</f>
        <v>MUNICIPALIDAD DISTRITAL DE RONDOS</v>
      </c>
      <c r="D989" s="25" t="str">
        <f ca="1">IFERROR(__xludf.DUMMYFUNCTION("""COMPUTED_VALUE"""),"JUNÍN")</f>
        <v>JUNÍN</v>
      </c>
      <c r="E989" s="25" t="str">
        <f ca="1">IFERROR(__xludf.DUMMYFUNCTION("""COMPUTED_VALUE"""),"HUÁNUCO")</f>
        <v>HUÁNUCO</v>
      </c>
      <c r="F989" s="25" t="str">
        <f ca="1">IFERROR(__xludf.DUMMYFUNCTION("""COMPUTED_VALUE"""),"LAURICOCHA")</f>
        <v>LAURICOCHA</v>
      </c>
      <c r="G989" s="25" t="str">
        <f ca="1">IFERROR(__xludf.DUMMYFUNCTION("""COMPUTED_VALUE"""),"RONDOS")</f>
        <v>RONDOS</v>
      </c>
      <c r="H989" s="25" t="str">
        <f ca="1">IFERROR(__xludf.DUMMYFUNCTION("""COMPUTED_VALUE"""),"RURAL")</f>
        <v>RURAL</v>
      </c>
      <c r="I989" s="25" t="str">
        <f ca="1">IFERROR(__xludf.DUMMYFUNCTION("""COMPUTED_VALUE"""),"Prioridad 4")</f>
        <v>Prioridad 4</v>
      </c>
      <c r="J989" s="43" t="s">
        <v>264</v>
      </c>
    </row>
    <row r="990" spans="2:10">
      <c r="B990" s="25" t="str">
        <f ca="1">IFERROR(__xludf.DUMMYFUNCTION("""COMPUTED_VALUE"""),"MUNICIPALIDAD DISTRITAL")</f>
        <v>MUNICIPALIDAD DISTRITAL</v>
      </c>
      <c r="C990" s="25" t="str">
        <f ca="1">IFERROR(__xludf.DUMMYFUNCTION("""COMPUTED_VALUE"""),"MUNICIPALIDAD DISTRITAL DE SAN FRANCISCO DE ASIS")</f>
        <v>MUNICIPALIDAD DISTRITAL DE SAN FRANCISCO DE ASIS</v>
      </c>
      <c r="D990" s="25" t="str">
        <f ca="1">IFERROR(__xludf.DUMMYFUNCTION("""COMPUTED_VALUE"""),"JUNÍN")</f>
        <v>JUNÍN</v>
      </c>
      <c r="E990" s="25" t="str">
        <f ca="1">IFERROR(__xludf.DUMMYFUNCTION("""COMPUTED_VALUE"""),"HUÁNUCO")</f>
        <v>HUÁNUCO</v>
      </c>
      <c r="F990" s="25" t="str">
        <f ca="1">IFERROR(__xludf.DUMMYFUNCTION("""COMPUTED_VALUE"""),"LAURICOCHA")</f>
        <v>LAURICOCHA</v>
      </c>
      <c r="G990" s="25" t="str">
        <f ca="1">IFERROR(__xludf.DUMMYFUNCTION("""COMPUTED_VALUE"""),"SAN FRANCISCO DE ASIS")</f>
        <v>SAN FRANCISCO DE ASIS</v>
      </c>
      <c r="H990" s="25" t="str">
        <f ca="1">IFERROR(__xludf.DUMMYFUNCTION("""COMPUTED_VALUE"""),"RURAL")</f>
        <v>RURAL</v>
      </c>
      <c r="I990" s="25" t="str">
        <f ca="1">IFERROR(__xludf.DUMMYFUNCTION("""COMPUTED_VALUE"""),"Prioridad 5")</f>
        <v>Prioridad 5</v>
      </c>
      <c r="J990" s="43" t="s">
        <v>264</v>
      </c>
    </row>
    <row r="991" spans="2:10">
      <c r="B991" s="25" t="str">
        <f ca="1">IFERROR(__xludf.DUMMYFUNCTION("""COMPUTED_VALUE"""),"MUNICIPALIDAD DISTRITAL")</f>
        <v>MUNICIPALIDAD DISTRITAL</v>
      </c>
      <c r="C991" s="25" t="str">
        <f ca="1">IFERROR(__xludf.DUMMYFUNCTION("""COMPUTED_VALUE"""),"MUNICIPALIDAD DISTRITAL DE SAN MIGUEL DE CAURI")</f>
        <v>MUNICIPALIDAD DISTRITAL DE SAN MIGUEL DE CAURI</v>
      </c>
      <c r="D991" s="25" t="str">
        <f ca="1">IFERROR(__xludf.DUMMYFUNCTION("""COMPUTED_VALUE"""),"JUNÍN")</f>
        <v>JUNÍN</v>
      </c>
      <c r="E991" s="25" t="str">
        <f ca="1">IFERROR(__xludf.DUMMYFUNCTION("""COMPUTED_VALUE"""),"HUÁNUCO")</f>
        <v>HUÁNUCO</v>
      </c>
      <c r="F991" s="25" t="str">
        <f ca="1">IFERROR(__xludf.DUMMYFUNCTION("""COMPUTED_VALUE"""),"LAURICOCHA")</f>
        <v>LAURICOCHA</v>
      </c>
      <c r="G991" s="25" t="str">
        <f ca="1">IFERROR(__xludf.DUMMYFUNCTION("""COMPUTED_VALUE"""),"SAN MIGUEL DE CAURI")</f>
        <v>SAN MIGUEL DE CAURI</v>
      </c>
      <c r="H991" s="25" t="str">
        <f ca="1">IFERROR(__xludf.DUMMYFUNCTION("""COMPUTED_VALUE"""),"RURAL")</f>
        <v>RURAL</v>
      </c>
      <c r="I991" s="25" t="str">
        <f ca="1">IFERROR(__xludf.DUMMYFUNCTION("""COMPUTED_VALUE"""),"Prioridad 5")</f>
        <v>Prioridad 5</v>
      </c>
      <c r="J991" s="43" t="s">
        <v>264</v>
      </c>
    </row>
    <row r="992" spans="2:10">
      <c r="B992" s="25" t="str">
        <f ca="1">IFERROR(__xludf.DUMMYFUNCTION("""COMPUTED_VALUE"""),"MUNICIPALIDAD PROVINCIAL")</f>
        <v>MUNICIPALIDAD PROVINCIAL</v>
      </c>
      <c r="C992" s="25" t="str">
        <f ca="1">IFERROR(__xludf.DUMMYFUNCTION("""COMPUTED_VALUE"""),"MUNICIPALIDAD PROVINCIAL DE LEONCIO PRADO")</f>
        <v>MUNICIPALIDAD PROVINCIAL DE LEONCIO PRADO</v>
      </c>
      <c r="D992" s="25" t="str">
        <f ca="1">IFERROR(__xludf.DUMMYFUNCTION("""COMPUTED_VALUE"""),"JUNÍN")</f>
        <v>JUNÍN</v>
      </c>
      <c r="E992" s="25" t="str">
        <f ca="1">IFERROR(__xludf.DUMMYFUNCTION("""COMPUTED_VALUE"""),"HUÁNUCO")</f>
        <v>HUÁNUCO</v>
      </c>
      <c r="F992" s="25" t="str">
        <f ca="1">IFERROR(__xludf.DUMMYFUNCTION("""COMPUTED_VALUE"""),"LEONCIO PRADO")</f>
        <v>LEONCIO PRADO</v>
      </c>
      <c r="G992" s="25" t="str">
        <f ca="1">IFERROR(__xludf.DUMMYFUNCTION("""COMPUTED_VALUE"""),"RUPA-RUPA")</f>
        <v>RUPA-RUPA</v>
      </c>
      <c r="H992" s="25" t="str">
        <f ca="1">IFERROR(__xludf.DUMMYFUNCTION("""COMPUTED_VALUE"""),"URBANO")</f>
        <v>URBANO</v>
      </c>
      <c r="I992" s="25" t="str">
        <f ca="1">IFERROR(__xludf.DUMMYFUNCTION("""COMPUTED_VALUE"""),"Prioridad 1")</f>
        <v>Prioridad 1</v>
      </c>
      <c r="J992" s="43" t="s">
        <v>264</v>
      </c>
    </row>
    <row r="993" spans="2:10">
      <c r="B993" s="25" t="str">
        <f ca="1">IFERROR(__xludf.DUMMYFUNCTION("""COMPUTED_VALUE"""),"MUNICIPALIDAD DISTRITAL")</f>
        <v>MUNICIPALIDAD DISTRITAL</v>
      </c>
      <c r="C993" s="25" t="str">
        <f ca="1">IFERROR(__xludf.DUMMYFUNCTION("""COMPUTED_VALUE"""),"MUNICIPALIDAD DISTRITAL DE DANIEL ALOMIA ROBLES")</f>
        <v>MUNICIPALIDAD DISTRITAL DE DANIEL ALOMIA ROBLES</v>
      </c>
      <c r="D993" s="25" t="str">
        <f ca="1">IFERROR(__xludf.DUMMYFUNCTION("""COMPUTED_VALUE"""),"JUNÍN")</f>
        <v>JUNÍN</v>
      </c>
      <c r="E993" s="25" t="str">
        <f ca="1">IFERROR(__xludf.DUMMYFUNCTION("""COMPUTED_VALUE"""),"HUÁNUCO")</f>
        <v>HUÁNUCO</v>
      </c>
      <c r="F993" s="25" t="str">
        <f ca="1">IFERROR(__xludf.DUMMYFUNCTION("""COMPUTED_VALUE"""),"LEONCIO PRADO")</f>
        <v>LEONCIO PRADO</v>
      </c>
      <c r="G993" s="25" t="str">
        <f ca="1">IFERROR(__xludf.DUMMYFUNCTION("""COMPUTED_VALUE"""),"DANIEL ALOMIA ROBLES")</f>
        <v>DANIEL ALOMIA ROBLES</v>
      </c>
      <c r="H993" s="25" t="str">
        <f ca="1">IFERROR(__xludf.DUMMYFUNCTION("""COMPUTED_VALUE"""),"RURAL")</f>
        <v>RURAL</v>
      </c>
      <c r="I993" s="25" t="str">
        <f ca="1">IFERROR(__xludf.DUMMYFUNCTION("""COMPUTED_VALUE"""),"Prioridad 4")</f>
        <v>Prioridad 4</v>
      </c>
      <c r="J993" s="43" t="s">
        <v>264</v>
      </c>
    </row>
    <row r="994" spans="2:10">
      <c r="B994" s="25" t="str">
        <f ca="1">IFERROR(__xludf.DUMMYFUNCTION("""COMPUTED_VALUE"""),"MUNICIPALIDAD DISTRITAL")</f>
        <v>MUNICIPALIDAD DISTRITAL</v>
      </c>
      <c r="C994" s="25" t="str">
        <f ca="1">IFERROR(__xludf.DUMMYFUNCTION("""COMPUTED_VALUE"""),"MUNICIPALIDAD DISTRITAL DE HERMILIO VALDIZAN")</f>
        <v>MUNICIPALIDAD DISTRITAL DE HERMILIO VALDIZAN</v>
      </c>
      <c r="D994" s="25" t="str">
        <f ca="1">IFERROR(__xludf.DUMMYFUNCTION("""COMPUTED_VALUE"""),"JUNÍN")</f>
        <v>JUNÍN</v>
      </c>
      <c r="E994" s="25" t="str">
        <f ca="1">IFERROR(__xludf.DUMMYFUNCTION("""COMPUTED_VALUE"""),"HUÁNUCO")</f>
        <v>HUÁNUCO</v>
      </c>
      <c r="F994" s="25" t="str">
        <f ca="1">IFERROR(__xludf.DUMMYFUNCTION("""COMPUTED_VALUE"""),"LEONCIO PRADO")</f>
        <v>LEONCIO PRADO</v>
      </c>
      <c r="G994" s="25" t="str">
        <f ca="1">IFERROR(__xludf.DUMMYFUNCTION("""COMPUTED_VALUE"""),"HERMILIO VALDIZAN")</f>
        <v>HERMILIO VALDIZAN</v>
      </c>
      <c r="H994" s="25" t="str">
        <f ca="1">IFERROR(__xludf.DUMMYFUNCTION("""COMPUTED_VALUE"""),"RURAL")</f>
        <v>RURAL</v>
      </c>
      <c r="I994" s="25" t="str">
        <f ca="1">IFERROR(__xludf.DUMMYFUNCTION("""COMPUTED_VALUE"""),"Prioridad 4")</f>
        <v>Prioridad 4</v>
      </c>
      <c r="J994" s="43" t="s">
        <v>264</v>
      </c>
    </row>
    <row r="995" spans="2:10">
      <c r="B995" s="25" t="str">
        <f ca="1">IFERROR(__xludf.DUMMYFUNCTION("""COMPUTED_VALUE"""),"MUNICIPALIDAD DISTRITAL")</f>
        <v>MUNICIPALIDAD DISTRITAL</v>
      </c>
      <c r="C995" s="25" t="str">
        <f ca="1">IFERROR(__xludf.DUMMYFUNCTION("""COMPUTED_VALUE"""),"MUNICIPALIDAD DISTRITAL DE JOSE CRESPO Y CASTILLO")</f>
        <v>MUNICIPALIDAD DISTRITAL DE JOSE CRESPO Y CASTILLO</v>
      </c>
      <c r="D995" s="25" t="str">
        <f ca="1">IFERROR(__xludf.DUMMYFUNCTION("""COMPUTED_VALUE"""),"JUNÍN")</f>
        <v>JUNÍN</v>
      </c>
      <c r="E995" s="25" t="str">
        <f ca="1">IFERROR(__xludf.DUMMYFUNCTION("""COMPUTED_VALUE"""),"HUÁNUCO")</f>
        <v>HUÁNUCO</v>
      </c>
      <c r="F995" s="25" t="str">
        <f ca="1">IFERROR(__xludf.DUMMYFUNCTION("""COMPUTED_VALUE"""),"LEONCIO PRADO")</f>
        <v>LEONCIO PRADO</v>
      </c>
      <c r="G995" s="25" t="str">
        <f ca="1">IFERROR(__xludf.DUMMYFUNCTION("""COMPUTED_VALUE"""),"JOSE CRESPO Y CASTILLO")</f>
        <v>JOSE CRESPO Y CASTILLO</v>
      </c>
      <c r="H995" s="25" t="str">
        <f ca="1">IFERROR(__xludf.DUMMYFUNCTION("""COMPUTED_VALUE"""),"URBANO")</f>
        <v>URBANO</v>
      </c>
      <c r="I995" s="25" t="str">
        <f ca="1">IFERROR(__xludf.DUMMYFUNCTION("""COMPUTED_VALUE"""),"Prioridad 2")</f>
        <v>Prioridad 2</v>
      </c>
      <c r="J995" s="43" t="s">
        <v>264</v>
      </c>
    </row>
    <row r="996" spans="2:10">
      <c r="B996" s="25" t="str">
        <f ca="1">IFERROR(__xludf.DUMMYFUNCTION("""COMPUTED_VALUE"""),"MUNICIPALIDAD DISTRITAL")</f>
        <v>MUNICIPALIDAD DISTRITAL</v>
      </c>
      <c r="C996" s="25" t="str">
        <f ca="1">IFERROR(__xludf.DUMMYFUNCTION("""COMPUTED_VALUE"""),"MUNICIPALIDAD DISTRITAL DE LUYANDO")</f>
        <v>MUNICIPALIDAD DISTRITAL DE LUYANDO</v>
      </c>
      <c r="D996" s="25" t="str">
        <f ca="1">IFERROR(__xludf.DUMMYFUNCTION("""COMPUTED_VALUE"""),"JUNÍN")</f>
        <v>JUNÍN</v>
      </c>
      <c r="E996" s="25" t="str">
        <f ca="1">IFERROR(__xludf.DUMMYFUNCTION("""COMPUTED_VALUE"""),"HUÁNUCO")</f>
        <v>HUÁNUCO</v>
      </c>
      <c r="F996" s="25" t="str">
        <f ca="1">IFERROR(__xludf.DUMMYFUNCTION("""COMPUTED_VALUE"""),"LEONCIO PRADO")</f>
        <v>LEONCIO PRADO</v>
      </c>
      <c r="G996" s="25" t="str">
        <f ca="1">IFERROR(__xludf.DUMMYFUNCTION("""COMPUTED_VALUE"""),"LUYANDO")</f>
        <v>LUYANDO</v>
      </c>
      <c r="H996" s="25" t="str">
        <f ca="1">IFERROR(__xludf.DUMMYFUNCTION("""COMPUTED_VALUE"""),"RURAL")</f>
        <v>RURAL</v>
      </c>
      <c r="I996" s="25" t="str">
        <f ca="1">IFERROR(__xludf.DUMMYFUNCTION("""COMPUTED_VALUE"""),"Prioridad 2")</f>
        <v>Prioridad 2</v>
      </c>
      <c r="J996" s="43" t="s">
        <v>264</v>
      </c>
    </row>
    <row r="997" spans="2:10">
      <c r="B997" s="25" t="str">
        <f ca="1">IFERROR(__xludf.DUMMYFUNCTION("""COMPUTED_VALUE"""),"MUNICIPALIDAD DISTRITAL")</f>
        <v>MUNICIPALIDAD DISTRITAL</v>
      </c>
      <c r="C997" s="25" t="str">
        <f ca="1">IFERROR(__xludf.DUMMYFUNCTION("""COMPUTED_VALUE"""),"MUNICIPALIDAD DISTRITAL DE MARIANO DAMASO BERAUN")</f>
        <v>MUNICIPALIDAD DISTRITAL DE MARIANO DAMASO BERAUN</v>
      </c>
      <c r="D997" s="25" t="str">
        <f ca="1">IFERROR(__xludf.DUMMYFUNCTION("""COMPUTED_VALUE"""),"JUNÍN")</f>
        <v>JUNÍN</v>
      </c>
      <c r="E997" s="25" t="str">
        <f ca="1">IFERROR(__xludf.DUMMYFUNCTION("""COMPUTED_VALUE"""),"HUÁNUCO")</f>
        <v>HUÁNUCO</v>
      </c>
      <c r="F997" s="25" t="str">
        <f ca="1">IFERROR(__xludf.DUMMYFUNCTION("""COMPUTED_VALUE"""),"LEONCIO PRADO")</f>
        <v>LEONCIO PRADO</v>
      </c>
      <c r="G997" s="25" t="str">
        <f ca="1">IFERROR(__xludf.DUMMYFUNCTION("""COMPUTED_VALUE"""),"MARIANO DAMASO BERAUN")</f>
        <v>MARIANO DAMASO BERAUN</v>
      </c>
      <c r="H997" s="25" t="str">
        <f ca="1">IFERROR(__xludf.DUMMYFUNCTION("""COMPUTED_VALUE"""),"RURAL")</f>
        <v>RURAL</v>
      </c>
      <c r="I997" s="25" t="str">
        <f ca="1">IFERROR(__xludf.DUMMYFUNCTION("""COMPUTED_VALUE"""),"Prioridad 2")</f>
        <v>Prioridad 2</v>
      </c>
      <c r="J997" s="43" t="s">
        <v>264</v>
      </c>
    </row>
    <row r="998" spans="2:10">
      <c r="B998" s="25" t="str">
        <f ca="1">IFERROR(__xludf.DUMMYFUNCTION("""COMPUTED_VALUE"""),"MUNICIPALIDAD DISTRITAL")</f>
        <v>MUNICIPALIDAD DISTRITAL</v>
      </c>
      <c r="C998" s="25" t="str">
        <f ca="1">IFERROR(__xludf.DUMMYFUNCTION("""COMPUTED_VALUE"""),"MUNICIPALIDAD DISTRITAL DE PUCAYACU")</f>
        <v>MUNICIPALIDAD DISTRITAL DE PUCAYACU</v>
      </c>
      <c r="D998" s="25" t="str">
        <f ca="1">IFERROR(__xludf.DUMMYFUNCTION("""COMPUTED_VALUE"""),"JUNÍN")</f>
        <v>JUNÍN</v>
      </c>
      <c r="E998" s="25" t="str">
        <f ca="1">IFERROR(__xludf.DUMMYFUNCTION("""COMPUTED_VALUE"""),"HUÁNUCO")</f>
        <v>HUÁNUCO</v>
      </c>
      <c r="F998" s="25" t="str">
        <f ca="1">IFERROR(__xludf.DUMMYFUNCTION("""COMPUTED_VALUE"""),"LEONCIO PRADO")</f>
        <v>LEONCIO PRADO</v>
      </c>
      <c r="G998" s="25" t="str">
        <f ca="1">IFERROR(__xludf.DUMMYFUNCTION("""COMPUTED_VALUE"""),"PUCAYACU")</f>
        <v>PUCAYACU</v>
      </c>
      <c r="H998" s="25" t="str">
        <f ca="1">IFERROR(__xludf.DUMMYFUNCTION("""COMPUTED_VALUE"""),"RURAL")</f>
        <v>RURAL</v>
      </c>
      <c r="I998" s="25" t="str">
        <f ca="1">IFERROR(__xludf.DUMMYFUNCTION("""COMPUTED_VALUE"""),"Prioridad 4")</f>
        <v>Prioridad 4</v>
      </c>
      <c r="J998" s="43" t="s">
        <v>264</v>
      </c>
    </row>
    <row r="999" spans="2:10">
      <c r="B999" s="25" t="str">
        <f ca="1">IFERROR(__xludf.DUMMYFUNCTION("""COMPUTED_VALUE"""),"MUNICIPALIDAD DISTRITAL")</f>
        <v>MUNICIPALIDAD DISTRITAL</v>
      </c>
      <c r="C999" s="25" t="str">
        <f ca="1">IFERROR(__xludf.DUMMYFUNCTION("""COMPUTED_VALUE"""),"MUNICIPALIDAD DISTRITAL DE CASTILLO GRANDE")</f>
        <v>MUNICIPALIDAD DISTRITAL DE CASTILLO GRANDE</v>
      </c>
      <c r="D999" s="25" t="str">
        <f ca="1">IFERROR(__xludf.DUMMYFUNCTION("""COMPUTED_VALUE"""),"JUNÍN")</f>
        <v>JUNÍN</v>
      </c>
      <c r="E999" s="25" t="str">
        <f ca="1">IFERROR(__xludf.DUMMYFUNCTION("""COMPUTED_VALUE"""),"HUÁNUCO")</f>
        <v>HUÁNUCO</v>
      </c>
      <c r="F999" s="25" t="str">
        <f ca="1">IFERROR(__xludf.DUMMYFUNCTION("""COMPUTED_VALUE"""),"LEONCIO PRADO")</f>
        <v>LEONCIO PRADO</v>
      </c>
      <c r="G999" s="25" t="str">
        <f ca="1">IFERROR(__xludf.DUMMYFUNCTION("""COMPUTED_VALUE"""),"CASTILLO GRANDE")</f>
        <v>CASTILLO GRANDE</v>
      </c>
      <c r="H999" s="25" t="str">
        <f ca="1">IFERROR(__xludf.DUMMYFUNCTION("""COMPUTED_VALUE"""),"URBANO")</f>
        <v>URBANO</v>
      </c>
      <c r="I999" s="25" t="str">
        <f ca="1">IFERROR(__xludf.DUMMYFUNCTION("""COMPUTED_VALUE"""),"Prioridad 2")</f>
        <v>Prioridad 2</v>
      </c>
      <c r="J999" s="43" t="s">
        <v>264</v>
      </c>
    </row>
    <row r="1000" spans="2:10">
      <c r="B1000" s="25" t="str">
        <f ca="1">IFERROR(__xludf.DUMMYFUNCTION("""COMPUTED_VALUE"""),"MUNICIPALIDAD DISTRITAL")</f>
        <v>MUNICIPALIDAD DISTRITAL</v>
      </c>
      <c r="C1000" s="25" t="str">
        <f ca="1">IFERROR(__xludf.DUMMYFUNCTION("""COMPUTED_VALUE"""),"MUNICIPALIDAD DISTRITAL DE PUEBLO NUEVO EN LEONCIO PRADO")</f>
        <v>MUNICIPALIDAD DISTRITAL DE PUEBLO NUEVO EN LEONCIO PRADO</v>
      </c>
      <c r="D1000" s="25" t="str">
        <f ca="1">IFERROR(__xludf.DUMMYFUNCTION("""COMPUTED_VALUE"""),"JUNÍN")</f>
        <v>JUNÍN</v>
      </c>
      <c r="E1000" s="25" t="str">
        <f ca="1">IFERROR(__xludf.DUMMYFUNCTION("""COMPUTED_VALUE"""),"HUÁNUCO")</f>
        <v>HUÁNUCO</v>
      </c>
      <c r="F1000" s="25" t="str">
        <f ca="1">IFERROR(__xludf.DUMMYFUNCTION("""COMPUTED_VALUE"""),"LEONCIO PRADO")</f>
        <v>LEONCIO PRADO</v>
      </c>
      <c r="G1000" s="25" t="str">
        <f ca="1">IFERROR(__xludf.DUMMYFUNCTION("""COMPUTED_VALUE"""),"PUEBLO NUEVO")</f>
        <v>PUEBLO NUEVO</v>
      </c>
      <c r="H1000" s="25" t="str">
        <f ca="1">IFERROR(__xludf.DUMMYFUNCTION("""COMPUTED_VALUE"""),"RURAL")</f>
        <v>RURAL</v>
      </c>
      <c r="I1000" s="25" t="str">
        <f ca="1">IFERROR(__xludf.DUMMYFUNCTION("""COMPUTED_VALUE"""),"Prioridad 5")</f>
        <v>Prioridad 5</v>
      </c>
      <c r="J1000" s="43" t="s">
        <v>264</v>
      </c>
    </row>
    <row r="1001" spans="2:10">
      <c r="B1001" s="25" t="str">
        <f ca="1">IFERROR(__xludf.DUMMYFUNCTION("""COMPUTED_VALUE"""),"MUNICIPALIDAD DISTRITAL")</f>
        <v>MUNICIPALIDAD DISTRITAL</v>
      </c>
      <c r="C1001" s="25" t="str">
        <f ca="1">IFERROR(__xludf.DUMMYFUNCTION("""COMPUTED_VALUE"""),"MUNICIPALIDAD DISTRITAL DE SANTO DOMINGO DE ANDA")</f>
        <v>MUNICIPALIDAD DISTRITAL DE SANTO DOMINGO DE ANDA</v>
      </c>
      <c r="D1001" s="25" t="str">
        <f ca="1">IFERROR(__xludf.DUMMYFUNCTION("""COMPUTED_VALUE"""),"JUNÍN")</f>
        <v>JUNÍN</v>
      </c>
      <c r="E1001" s="25" t="str">
        <f ca="1">IFERROR(__xludf.DUMMYFUNCTION("""COMPUTED_VALUE"""),"HUÁNUCO")</f>
        <v>HUÁNUCO</v>
      </c>
      <c r="F1001" s="25" t="str">
        <f ca="1">IFERROR(__xludf.DUMMYFUNCTION("""COMPUTED_VALUE"""),"LEONCIO PRADO")</f>
        <v>LEONCIO PRADO</v>
      </c>
      <c r="G1001" s="25" t="str">
        <f ca="1">IFERROR(__xludf.DUMMYFUNCTION("""COMPUTED_VALUE"""),"SANTO DOMINGO DE ANDA")</f>
        <v>SANTO DOMINGO DE ANDA</v>
      </c>
      <c r="H1001" s="25" t="str">
        <f ca="1">IFERROR(__xludf.DUMMYFUNCTION("""COMPUTED_VALUE"""),"RURAL")</f>
        <v>RURAL</v>
      </c>
      <c r="I1001" s="25" t="str">
        <f ca="1">IFERROR(__xludf.DUMMYFUNCTION("""COMPUTED_VALUE"""),"Prioridad 4")</f>
        <v>Prioridad 4</v>
      </c>
      <c r="J1001" s="43" t="s">
        <v>264</v>
      </c>
    </row>
    <row r="1002" spans="2:10">
      <c r="B1002" s="25" t="str">
        <f ca="1">IFERROR(__xludf.DUMMYFUNCTION("""COMPUTED_VALUE"""),"MUNICIPALIDAD PROVINCIAL")</f>
        <v>MUNICIPALIDAD PROVINCIAL</v>
      </c>
      <c r="C1002" s="25" t="str">
        <f ca="1">IFERROR(__xludf.DUMMYFUNCTION("""COMPUTED_VALUE"""),"MUNICIPALIDAD PROVINCIAL DE MARAÑON")</f>
        <v>MUNICIPALIDAD PROVINCIAL DE MARAÑON</v>
      </c>
      <c r="D1002" s="25" t="str">
        <f ca="1">IFERROR(__xludf.DUMMYFUNCTION("""COMPUTED_VALUE"""),"LA LIBERTAD")</f>
        <v>LA LIBERTAD</v>
      </c>
      <c r="E1002" s="25" t="str">
        <f ca="1">IFERROR(__xludf.DUMMYFUNCTION("""COMPUTED_VALUE"""),"HUÁNUCO")</f>
        <v>HUÁNUCO</v>
      </c>
      <c r="F1002" s="25" t="str">
        <f ca="1">IFERROR(__xludf.DUMMYFUNCTION("""COMPUTED_VALUE"""),"MARAÑON")</f>
        <v>MARAÑON</v>
      </c>
      <c r="G1002" s="25" t="str">
        <f ca="1">IFERROR(__xludf.DUMMYFUNCTION("""COMPUTED_VALUE"""),"HUACRACHUCO")</f>
        <v>HUACRACHUCO</v>
      </c>
      <c r="H1002" s="25" t="str">
        <f ca="1">IFERROR(__xludf.DUMMYFUNCTION("""COMPUTED_VALUE"""),"RURAL")</f>
        <v>RURAL</v>
      </c>
      <c r="I1002" s="25" t="str">
        <f ca="1">IFERROR(__xludf.DUMMYFUNCTION("""COMPUTED_VALUE"""),"Prioridad 2")</f>
        <v>Prioridad 2</v>
      </c>
      <c r="J1002" s="43" t="s">
        <v>264</v>
      </c>
    </row>
    <row r="1003" spans="2:10">
      <c r="B1003" s="25" t="str">
        <f ca="1">IFERROR(__xludf.DUMMYFUNCTION("""COMPUTED_VALUE"""),"MUNICIPALIDAD DISTRITAL")</f>
        <v>MUNICIPALIDAD DISTRITAL</v>
      </c>
      <c r="C1003" s="25" t="str">
        <f ca="1">IFERROR(__xludf.DUMMYFUNCTION("""COMPUTED_VALUE"""),"MUNICIPALIDAD DISTRITAL DE CHOLON")</f>
        <v>MUNICIPALIDAD DISTRITAL DE CHOLON</v>
      </c>
      <c r="D1003" s="25" t="str">
        <f ca="1">IFERROR(__xludf.DUMMYFUNCTION("""COMPUTED_VALUE"""),"LA LIBERTAD")</f>
        <v>LA LIBERTAD</v>
      </c>
      <c r="E1003" s="25" t="str">
        <f ca="1">IFERROR(__xludf.DUMMYFUNCTION("""COMPUTED_VALUE"""),"HUÁNUCO")</f>
        <v>HUÁNUCO</v>
      </c>
      <c r="F1003" s="25" t="str">
        <f ca="1">IFERROR(__xludf.DUMMYFUNCTION("""COMPUTED_VALUE"""),"MARAÑON")</f>
        <v>MARAÑON</v>
      </c>
      <c r="G1003" s="25" t="str">
        <f ca="1">IFERROR(__xludf.DUMMYFUNCTION("""COMPUTED_VALUE"""),"CHOLON")</f>
        <v>CHOLON</v>
      </c>
      <c r="H1003" s="25" t="str">
        <f ca="1">IFERROR(__xludf.DUMMYFUNCTION("""COMPUTED_VALUE"""),"RURAL")</f>
        <v>RURAL</v>
      </c>
      <c r="I1003" s="25" t="str">
        <f ca="1">IFERROR(__xludf.DUMMYFUNCTION("""COMPUTED_VALUE"""),"Prioridad 5")</f>
        <v>Prioridad 5</v>
      </c>
      <c r="J1003" s="43" t="s">
        <v>264</v>
      </c>
    </row>
    <row r="1004" spans="2:10">
      <c r="B1004" s="25" t="str">
        <f ca="1">IFERROR(__xludf.DUMMYFUNCTION("""COMPUTED_VALUE"""),"MUNICIPALIDAD DISTRITAL")</f>
        <v>MUNICIPALIDAD DISTRITAL</v>
      </c>
      <c r="C1004" s="25" t="str">
        <f ca="1">IFERROR(__xludf.DUMMYFUNCTION("""COMPUTED_VALUE"""),"MUNICIPALIDAD DISTRITAL DE LA MORADA")</f>
        <v>MUNICIPALIDAD DISTRITAL DE LA MORADA</v>
      </c>
      <c r="D1004" s="25" t="str">
        <f ca="1">IFERROR(__xludf.DUMMYFUNCTION("""COMPUTED_VALUE"""),"LA LIBERTAD")</f>
        <v>LA LIBERTAD</v>
      </c>
      <c r="E1004" s="25" t="str">
        <f ca="1">IFERROR(__xludf.DUMMYFUNCTION("""COMPUTED_VALUE"""),"HUÁNUCO")</f>
        <v>HUÁNUCO</v>
      </c>
      <c r="F1004" s="25" t="str">
        <f ca="1">IFERROR(__xludf.DUMMYFUNCTION("""COMPUTED_VALUE"""),"MARAÑON")</f>
        <v>MARAÑON</v>
      </c>
      <c r="G1004" s="25" t="str">
        <f ca="1">IFERROR(__xludf.DUMMYFUNCTION("""COMPUTED_VALUE"""),"LA MORADA")</f>
        <v>LA MORADA</v>
      </c>
      <c r="H1004" s="25" t="str">
        <f ca="1">IFERROR(__xludf.DUMMYFUNCTION("""COMPUTED_VALUE"""),"RURAL")</f>
        <v>RURAL</v>
      </c>
      <c r="I1004" s="25" t="str">
        <f ca="1">IFERROR(__xludf.DUMMYFUNCTION("""COMPUTED_VALUE"""),"Prioridad 3")</f>
        <v>Prioridad 3</v>
      </c>
      <c r="J1004" s="43" t="s">
        <v>263</v>
      </c>
    </row>
    <row r="1005" spans="2:10">
      <c r="B1005" s="25" t="str">
        <f ca="1">IFERROR(__xludf.DUMMYFUNCTION("""COMPUTED_VALUE"""),"MUNICIPALIDAD DISTRITAL")</f>
        <v>MUNICIPALIDAD DISTRITAL</v>
      </c>
      <c r="C1005" s="25" t="str">
        <f ca="1">IFERROR(__xludf.DUMMYFUNCTION("""COMPUTED_VALUE"""),"MUNICIPALIDAD DISTRITAL DE SAN BUENAVENTURA EN MARAÑON")</f>
        <v>MUNICIPALIDAD DISTRITAL DE SAN BUENAVENTURA EN MARAÑON</v>
      </c>
      <c r="D1005" s="25" t="str">
        <f ca="1">IFERROR(__xludf.DUMMYFUNCTION("""COMPUTED_VALUE"""),"LA LIBERTAD")</f>
        <v>LA LIBERTAD</v>
      </c>
      <c r="E1005" s="25" t="str">
        <f ca="1">IFERROR(__xludf.DUMMYFUNCTION("""COMPUTED_VALUE"""),"HUÁNUCO")</f>
        <v>HUÁNUCO</v>
      </c>
      <c r="F1005" s="25" t="str">
        <f ca="1">IFERROR(__xludf.DUMMYFUNCTION("""COMPUTED_VALUE"""),"MARAÑON")</f>
        <v>MARAÑON</v>
      </c>
      <c r="G1005" s="25" t="str">
        <f ca="1">IFERROR(__xludf.DUMMYFUNCTION("""COMPUTED_VALUE"""),"SAN BUENAVENTURA")</f>
        <v>SAN BUENAVENTURA</v>
      </c>
      <c r="H1005" s="25" t="str">
        <f ca="1">IFERROR(__xludf.DUMMYFUNCTION("""COMPUTED_VALUE"""),"RURAL")</f>
        <v>RURAL</v>
      </c>
      <c r="I1005" s="25" t="str">
        <f ca="1">IFERROR(__xludf.DUMMYFUNCTION("""COMPUTED_VALUE"""),"Prioridad 5")</f>
        <v>Prioridad 5</v>
      </c>
      <c r="J1005" s="43" t="s">
        <v>263</v>
      </c>
    </row>
    <row r="1006" spans="2:10">
      <c r="B1006" s="25" t="str">
        <f ca="1">IFERROR(__xludf.DUMMYFUNCTION("""COMPUTED_VALUE"""),"MUNICIPALIDAD DISTRITAL")</f>
        <v>MUNICIPALIDAD DISTRITAL</v>
      </c>
      <c r="C1006" s="25" t="str">
        <f ca="1">IFERROR(__xludf.DUMMYFUNCTION("""COMPUTED_VALUE"""),"MUNICIPALIDAD DISTRITAL DE SANTA ROSA DE ALTO YANAJANCA")</f>
        <v>MUNICIPALIDAD DISTRITAL DE SANTA ROSA DE ALTO YANAJANCA</v>
      </c>
      <c r="D1006" s="25" t="str">
        <f ca="1">IFERROR(__xludf.DUMMYFUNCTION("""COMPUTED_VALUE"""),"LA LIBERTAD")</f>
        <v>LA LIBERTAD</v>
      </c>
      <c r="E1006" s="25" t="str">
        <f ca="1">IFERROR(__xludf.DUMMYFUNCTION("""COMPUTED_VALUE"""),"HUÁNUCO")</f>
        <v>HUÁNUCO</v>
      </c>
      <c r="F1006" s="25" t="str">
        <f ca="1">IFERROR(__xludf.DUMMYFUNCTION("""COMPUTED_VALUE"""),"MARAÑON")</f>
        <v>MARAÑON</v>
      </c>
      <c r="G1006" s="25" t="str">
        <f ca="1">IFERROR(__xludf.DUMMYFUNCTION("""COMPUTED_VALUE"""),"SANTA ROSA DE ALTO YANAJANCA")</f>
        <v>SANTA ROSA DE ALTO YANAJANCA</v>
      </c>
      <c r="H1006" s="25" t="str">
        <f ca="1">IFERROR(__xludf.DUMMYFUNCTION("""COMPUTED_VALUE"""),"RURAL")</f>
        <v>RURAL</v>
      </c>
      <c r="I1006" s="25" t="str">
        <f ca="1">IFERROR(__xludf.DUMMYFUNCTION("""COMPUTED_VALUE"""),"Prioridad 5")</f>
        <v>Prioridad 5</v>
      </c>
      <c r="J1006" s="43" t="s">
        <v>263</v>
      </c>
    </row>
    <row r="1007" spans="2:10">
      <c r="B1007" s="25" t="str">
        <f ca="1">IFERROR(__xludf.DUMMYFUNCTION("""COMPUTED_VALUE"""),"MUNICIPALIDAD PROVINCIAL")</f>
        <v>MUNICIPALIDAD PROVINCIAL</v>
      </c>
      <c r="C1007" s="25" t="str">
        <f ca="1">IFERROR(__xludf.DUMMYFUNCTION("""COMPUTED_VALUE"""),"MUNICIPALIDAD PROVINCIAL DE PACHITEA")</f>
        <v>MUNICIPALIDAD PROVINCIAL DE PACHITEA</v>
      </c>
      <c r="D1007" s="25" t="str">
        <f ca="1">IFERROR(__xludf.DUMMYFUNCTION("""COMPUTED_VALUE"""),"JUNÍN")</f>
        <v>JUNÍN</v>
      </c>
      <c r="E1007" s="25" t="str">
        <f ca="1">IFERROR(__xludf.DUMMYFUNCTION("""COMPUTED_VALUE"""),"HUÁNUCO")</f>
        <v>HUÁNUCO</v>
      </c>
      <c r="F1007" s="25" t="str">
        <f ca="1">IFERROR(__xludf.DUMMYFUNCTION("""COMPUTED_VALUE"""),"PACHITEA")</f>
        <v>PACHITEA</v>
      </c>
      <c r="G1007" s="25" t="str">
        <f ca="1">IFERROR(__xludf.DUMMYFUNCTION("""COMPUTED_VALUE"""),"PANAO")</f>
        <v>PANAO</v>
      </c>
      <c r="H1007" s="25" t="str">
        <f ca="1">IFERROR(__xludf.DUMMYFUNCTION("""COMPUTED_VALUE"""),"RURAL")</f>
        <v>RURAL</v>
      </c>
      <c r="I1007" s="25" t="str">
        <f ca="1">IFERROR(__xludf.DUMMYFUNCTION("""COMPUTED_VALUE"""),"Prioridad 2")</f>
        <v>Prioridad 2</v>
      </c>
      <c r="J1007" s="43" t="s">
        <v>263</v>
      </c>
    </row>
    <row r="1008" spans="2:10">
      <c r="B1008" s="25" t="str">
        <f ca="1">IFERROR(__xludf.DUMMYFUNCTION("""COMPUTED_VALUE"""),"MUNICIPALIDAD DISTRITAL")</f>
        <v>MUNICIPALIDAD DISTRITAL</v>
      </c>
      <c r="C1008" s="25" t="str">
        <f ca="1">IFERROR(__xludf.DUMMYFUNCTION("""COMPUTED_VALUE"""),"MUNICIPALIDAD DISTRITAL DE CHAGLLA")</f>
        <v>MUNICIPALIDAD DISTRITAL DE CHAGLLA</v>
      </c>
      <c r="D1008" s="25" t="str">
        <f ca="1">IFERROR(__xludf.DUMMYFUNCTION("""COMPUTED_VALUE"""),"JUNÍN")</f>
        <v>JUNÍN</v>
      </c>
      <c r="E1008" s="25" t="str">
        <f ca="1">IFERROR(__xludf.DUMMYFUNCTION("""COMPUTED_VALUE"""),"HUÁNUCO")</f>
        <v>HUÁNUCO</v>
      </c>
      <c r="F1008" s="25" t="str">
        <f ca="1">IFERROR(__xludf.DUMMYFUNCTION("""COMPUTED_VALUE"""),"PACHITEA")</f>
        <v>PACHITEA</v>
      </c>
      <c r="G1008" s="25" t="str">
        <f ca="1">IFERROR(__xludf.DUMMYFUNCTION("""COMPUTED_VALUE"""),"CHAGLLA")</f>
        <v>CHAGLLA</v>
      </c>
      <c r="H1008" s="25" t="str">
        <f ca="1">IFERROR(__xludf.DUMMYFUNCTION("""COMPUTED_VALUE"""),"RURAL")</f>
        <v>RURAL</v>
      </c>
      <c r="I1008" s="25" t="str">
        <f ca="1">IFERROR(__xludf.DUMMYFUNCTION("""COMPUTED_VALUE"""),"Prioridad 3")</f>
        <v>Prioridad 3</v>
      </c>
      <c r="J1008" s="43" t="s">
        <v>263</v>
      </c>
    </row>
    <row r="1009" spans="2:10">
      <c r="B1009" s="25" t="str">
        <f ca="1">IFERROR(__xludf.DUMMYFUNCTION("""COMPUTED_VALUE"""),"MUNICIPALIDAD DISTRITAL")</f>
        <v>MUNICIPALIDAD DISTRITAL</v>
      </c>
      <c r="C1009" s="25" t="str">
        <f ca="1">IFERROR(__xludf.DUMMYFUNCTION("""COMPUTED_VALUE"""),"MUNICIPALIDAD DISTRITAL DE MOLINO")</f>
        <v>MUNICIPALIDAD DISTRITAL DE MOLINO</v>
      </c>
      <c r="D1009" s="25" t="str">
        <f ca="1">IFERROR(__xludf.DUMMYFUNCTION("""COMPUTED_VALUE"""),"JUNÍN")</f>
        <v>JUNÍN</v>
      </c>
      <c r="E1009" s="25" t="str">
        <f ca="1">IFERROR(__xludf.DUMMYFUNCTION("""COMPUTED_VALUE"""),"HUÁNUCO")</f>
        <v>HUÁNUCO</v>
      </c>
      <c r="F1009" s="25" t="str">
        <f ca="1">IFERROR(__xludf.DUMMYFUNCTION("""COMPUTED_VALUE"""),"PACHITEA")</f>
        <v>PACHITEA</v>
      </c>
      <c r="G1009" s="25" t="str">
        <f ca="1">IFERROR(__xludf.DUMMYFUNCTION("""COMPUTED_VALUE"""),"MOLINO")</f>
        <v>MOLINO</v>
      </c>
      <c r="H1009" s="25" t="str">
        <f ca="1">IFERROR(__xludf.DUMMYFUNCTION("""COMPUTED_VALUE"""),"RURAL")</f>
        <v>RURAL</v>
      </c>
      <c r="I1009" s="25" t="str">
        <f ca="1">IFERROR(__xludf.DUMMYFUNCTION("""COMPUTED_VALUE"""),"Prioridad 2")</f>
        <v>Prioridad 2</v>
      </c>
      <c r="J1009" s="43" t="s">
        <v>263</v>
      </c>
    </row>
    <row r="1010" spans="2:10">
      <c r="B1010" s="25" t="str">
        <f ca="1">IFERROR(__xludf.DUMMYFUNCTION("""COMPUTED_VALUE"""),"MUNICIPALIDAD DISTRITAL")</f>
        <v>MUNICIPALIDAD DISTRITAL</v>
      </c>
      <c r="C1010" s="25" t="str">
        <f ca="1">IFERROR(__xludf.DUMMYFUNCTION("""COMPUTED_VALUE"""),"MUNICIPALIDAD DISTRITAL DE UMARI")</f>
        <v>MUNICIPALIDAD DISTRITAL DE UMARI</v>
      </c>
      <c r="D1010" s="25" t="str">
        <f ca="1">IFERROR(__xludf.DUMMYFUNCTION("""COMPUTED_VALUE"""),"JUNÍN")</f>
        <v>JUNÍN</v>
      </c>
      <c r="E1010" s="25" t="str">
        <f ca="1">IFERROR(__xludf.DUMMYFUNCTION("""COMPUTED_VALUE"""),"HUÁNUCO")</f>
        <v>HUÁNUCO</v>
      </c>
      <c r="F1010" s="25" t="str">
        <f ca="1">IFERROR(__xludf.DUMMYFUNCTION("""COMPUTED_VALUE"""),"PACHITEA")</f>
        <v>PACHITEA</v>
      </c>
      <c r="G1010" s="25" t="str">
        <f ca="1">IFERROR(__xludf.DUMMYFUNCTION("""COMPUTED_VALUE"""),"UMARI")</f>
        <v>UMARI</v>
      </c>
      <c r="H1010" s="25" t="str">
        <f ca="1">IFERROR(__xludf.DUMMYFUNCTION("""COMPUTED_VALUE"""),"RURAL")</f>
        <v>RURAL</v>
      </c>
      <c r="I1010" s="25" t="str">
        <f ca="1">IFERROR(__xludf.DUMMYFUNCTION("""COMPUTED_VALUE"""),"Prioridad 4")</f>
        <v>Prioridad 4</v>
      </c>
      <c r="J1010" s="43" t="s">
        <v>263</v>
      </c>
    </row>
    <row r="1011" spans="2:10">
      <c r="B1011" s="25" t="str">
        <f ca="1">IFERROR(__xludf.DUMMYFUNCTION("""COMPUTED_VALUE"""),"MUNICIPALIDAD PROVINCIAL")</f>
        <v>MUNICIPALIDAD PROVINCIAL</v>
      </c>
      <c r="C1011" s="25" t="str">
        <f ca="1">IFERROR(__xludf.DUMMYFUNCTION("""COMPUTED_VALUE"""),"MUNICIPALIDAD PROVINCIAL DE PUERTO INCA")</f>
        <v>MUNICIPALIDAD PROVINCIAL DE PUERTO INCA</v>
      </c>
      <c r="D1011" s="25" t="str">
        <f ca="1">IFERROR(__xludf.DUMMYFUNCTION("""COMPUTED_VALUE"""),"JUNÍN")</f>
        <v>JUNÍN</v>
      </c>
      <c r="E1011" s="25" t="str">
        <f ca="1">IFERROR(__xludf.DUMMYFUNCTION("""COMPUTED_VALUE"""),"HUÁNUCO")</f>
        <v>HUÁNUCO</v>
      </c>
      <c r="F1011" s="25" t="str">
        <f ca="1">IFERROR(__xludf.DUMMYFUNCTION("""COMPUTED_VALUE"""),"PUERTO INCA")</f>
        <v>PUERTO INCA</v>
      </c>
      <c r="G1011" s="25" t="str">
        <f ca="1">IFERROR(__xludf.DUMMYFUNCTION("""COMPUTED_VALUE"""),"PUERTO INCA")</f>
        <v>PUERTO INCA</v>
      </c>
      <c r="H1011" s="25" t="str">
        <f ca="1">IFERROR(__xludf.DUMMYFUNCTION("""COMPUTED_VALUE"""),"URBANO")</f>
        <v>URBANO</v>
      </c>
      <c r="I1011" s="25" t="str">
        <f ca="1">IFERROR(__xludf.DUMMYFUNCTION("""COMPUTED_VALUE"""),"Prioridad 1")</f>
        <v>Prioridad 1</v>
      </c>
      <c r="J1011" s="43" t="s">
        <v>263</v>
      </c>
    </row>
    <row r="1012" spans="2:10">
      <c r="B1012" s="25" t="str">
        <f ca="1">IFERROR(__xludf.DUMMYFUNCTION("""COMPUTED_VALUE"""),"MUNICIPALIDAD DISTRITAL")</f>
        <v>MUNICIPALIDAD DISTRITAL</v>
      </c>
      <c r="C1012" s="25" t="str">
        <f ca="1">IFERROR(__xludf.DUMMYFUNCTION("""COMPUTED_VALUE"""),"MUNICIPALIDAD DISTRITAL DE CODO DEL POZUZO")</f>
        <v>MUNICIPALIDAD DISTRITAL DE CODO DEL POZUZO</v>
      </c>
      <c r="D1012" s="25" t="str">
        <f ca="1">IFERROR(__xludf.DUMMYFUNCTION("""COMPUTED_VALUE"""),"JUNÍN")</f>
        <v>JUNÍN</v>
      </c>
      <c r="E1012" s="25" t="str">
        <f ca="1">IFERROR(__xludf.DUMMYFUNCTION("""COMPUTED_VALUE"""),"HUÁNUCO")</f>
        <v>HUÁNUCO</v>
      </c>
      <c r="F1012" s="25" t="str">
        <f ca="1">IFERROR(__xludf.DUMMYFUNCTION("""COMPUTED_VALUE"""),"PUERTO INCA")</f>
        <v>PUERTO INCA</v>
      </c>
      <c r="G1012" s="25" t="str">
        <f ca="1">IFERROR(__xludf.DUMMYFUNCTION("""COMPUTED_VALUE"""),"CODO DEL POZUZO")</f>
        <v>CODO DEL POZUZO</v>
      </c>
      <c r="H1012" s="25" t="str">
        <f ca="1">IFERROR(__xludf.DUMMYFUNCTION("""COMPUTED_VALUE"""),"RURAL")</f>
        <v>RURAL</v>
      </c>
      <c r="I1012" s="25" t="str">
        <f ca="1">IFERROR(__xludf.DUMMYFUNCTION("""COMPUTED_VALUE"""),"Prioridad 3")</f>
        <v>Prioridad 3</v>
      </c>
      <c r="J1012" s="43" t="s">
        <v>263</v>
      </c>
    </row>
    <row r="1013" spans="2:10">
      <c r="B1013" s="25" t="str">
        <f ca="1">IFERROR(__xludf.DUMMYFUNCTION("""COMPUTED_VALUE"""),"MUNICIPALIDAD DISTRITAL")</f>
        <v>MUNICIPALIDAD DISTRITAL</v>
      </c>
      <c r="C1013" s="25" t="str">
        <f ca="1">IFERROR(__xludf.DUMMYFUNCTION("""COMPUTED_VALUE"""),"MUNICIPALIDAD DISTRITAL DE HONORIA")</f>
        <v>MUNICIPALIDAD DISTRITAL DE HONORIA</v>
      </c>
      <c r="D1013" s="25" t="str">
        <f ca="1">IFERROR(__xludf.DUMMYFUNCTION("""COMPUTED_VALUE"""),"JUNÍN")</f>
        <v>JUNÍN</v>
      </c>
      <c r="E1013" s="25" t="str">
        <f ca="1">IFERROR(__xludf.DUMMYFUNCTION("""COMPUTED_VALUE"""),"HUÁNUCO")</f>
        <v>HUÁNUCO</v>
      </c>
      <c r="F1013" s="25" t="str">
        <f ca="1">IFERROR(__xludf.DUMMYFUNCTION("""COMPUTED_VALUE"""),"PUERTO INCA")</f>
        <v>PUERTO INCA</v>
      </c>
      <c r="G1013" s="25" t="str">
        <f ca="1">IFERROR(__xludf.DUMMYFUNCTION("""COMPUTED_VALUE"""),"HONORIA")</f>
        <v>HONORIA</v>
      </c>
      <c r="H1013" s="25" t="str">
        <f ca="1">IFERROR(__xludf.DUMMYFUNCTION("""COMPUTED_VALUE"""),"RURAL")</f>
        <v>RURAL</v>
      </c>
      <c r="I1013" s="25" t="str">
        <f ca="1">IFERROR(__xludf.DUMMYFUNCTION("""COMPUTED_VALUE"""),"Prioridad 5")</f>
        <v>Prioridad 5</v>
      </c>
      <c r="J1013" s="43" t="s">
        <v>263</v>
      </c>
    </row>
    <row r="1014" spans="2:10">
      <c r="B1014" s="25" t="str">
        <f ca="1">IFERROR(__xludf.DUMMYFUNCTION("""COMPUTED_VALUE"""),"MUNICIPALIDAD DISTRITAL")</f>
        <v>MUNICIPALIDAD DISTRITAL</v>
      </c>
      <c r="C1014" s="25" t="str">
        <f ca="1">IFERROR(__xludf.DUMMYFUNCTION("""COMPUTED_VALUE"""),"MUNICIPALIDAD DISTRITAL DE TOURNAVISTA")</f>
        <v>MUNICIPALIDAD DISTRITAL DE TOURNAVISTA</v>
      </c>
      <c r="D1014" s="25" t="str">
        <f ca="1">IFERROR(__xludf.DUMMYFUNCTION("""COMPUTED_VALUE"""),"JUNÍN")</f>
        <v>JUNÍN</v>
      </c>
      <c r="E1014" s="25" t="str">
        <f ca="1">IFERROR(__xludf.DUMMYFUNCTION("""COMPUTED_VALUE"""),"HUÁNUCO")</f>
        <v>HUÁNUCO</v>
      </c>
      <c r="F1014" s="25" t="str">
        <f ca="1">IFERROR(__xludf.DUMMYFUNCTION("""COMPUTED_VALUE"""),"PUERTO INCA")</f>
        <v>PUERTO INCA</v>
      </c>
      <c r="G1014" s="25" t="str">
        <f ca="1">IFERROR(__xludf.DUMMYFUNCTION("""COMPUTED_VALUE"""),"TOURNAVISTA")</f>
        <v>TOURNAVISTA</v>
      </c>
      <c r="H1014" s="25" t="str">
        <f ca="1">IFERROR(__xludf.DUMMYFUNCTION("""COMPUTED_VALUE"""),"RURAL")</f>
        <v>RURAL</v>
      </c>
      <c r="I1014" s="25" t="str">
        <f ca="1">IFERROR(__xludf.DUMMYFUNCTION("""COMPUTED_VALUE"""),"Prioridad 3")</f>
        <v>Prioridad 3</v>
      </c>
      <c r="J1014" s="43" t="s">
        <v>263</v>
      </c>
    </row>
    <row r="1015" spans="2:10">
      <c r="B1015" s="25" t="str">
        <f ca="1">IFERROR(__xludf.DUMMYFUNCTION("""COMPUTED_VALUE"""),"MUNICIPALIDAD DISTRITAL")</f>
        <v>MUNICIPALIDAD DISTRITAL</v>
      </c>
      <c r="C1015" s="25" t="str">
        <f ca="1">IFERROR(__xludf.DUMMYFUNCTION("""COMPUTED_VALUE"""),"MUNICIPALIDAD DISTRITAL DE YUYAPICHIS")</f>
        <v>MUNICIPALIDAD DISTRITAL DE YUYAPICHIS</v>
      </c>
      <c r="D1015" s="25" t="str">
        <f ca="1">IFERROR(__xludf.DUMMYFUNCTION("""COMPUTED_VALUE"""),"JUNÍN")</f>
        <v>JUNÍN</v>
      </c>
      <c r="E1015" s="25" t="str">
        <f ca="1">IFERROR(__xludf.DUMMYFUNCTION("""COMPUTED_VALUE"""),"HUÁNUCO")</f>
        <v>HUÁNUCO</v>
      </c>
      <c r="F1015" s="25" t="str">
        <f ca="1">IFERROR(__xludf.DUMMYFUNCTION("""COMPUTED_VALUE"""),"PUERTO INCA")</f>
        <v>PUERTO INCA</v>
      </c>
      <c r="G1015" s="25" t="str">
        <f ca="1">IFERROR(__xludf.DUMMYFUNCTION("""COMPUTED_VALUE"""),"YUYAPICHIS")</f>
        <v>YUYAPICHIS</v>
      </c>
      <c r="H1015" s="25" t="str">
        <f ca="1">IFERROR(__xludf.DUMMYFUNCTION("""COMPUTED_VALUE"""),"RURAL")</f>
        <v>RURAL</v>
      </c>
      <c r="I1015" s="25" t="str">
        <f ca="1">IFERROR(__xludf.DUMMYFUNCTION("""COMPUTED_VALUE"""),"Prioridad 3")</f>
        <v>Prioridad 3</v>
      </c>
      <c r="J1015" s="43" t="s">
        <v>263</v>
      </c>
    </row>
    <row r="1016" spans="2:10">
      <c r="B1016" s="25" t="str">
        <f ca="1">IFERROR(__xludf.DUMMYFUNCTION("""COMPUTED_VALUE"""),"MUNICIPALIDAD PROVINCIAL")</f>
        <v>MUNICIPALIDAD PROVINCIAL</v>
      </c>
      <c r="C1016" s="25" t="str">
        <f ca="1">IFERROR(__xludf.DUMMYFUNCTION("""COMPUTED_VALUE"""),"MUNICIPALIDAD PROVINCIAL DE YAROWILCA")</f>
        <v>MUNICIPALIDAD PROVINCIAL DE YAROWILCA</v>
      </c>
      <c r="D1016" s="25" t="str">
        <f ca="1">IFERROR(__xludf.DUMMYFUNCTION("""COMPUTED_VALUE"""),"JUNÍN")</f>
        <v>JUNÍN</v>
      </c>
      <c r="E1016" s="25" t="str">
        <f ca="1">IFERROR(__xludf.DUMMYFUNCTION("""COMPUTED_VALUE"""),"HUÁNUCO")</f>
        <v>HUÁNUCO</v>
      </c>
      <c r="F1016" s="25" t="str">
        <f ca="1">IFERROR(__xludf.DUMMYFUNCTION("""COMPUTED_VALUE"""),"YAROWILCA")</f>
        <v>YAROWILCA</v>
      </c>
      <c r="G1016" s="25" t="str">
        <f ca="1">IFERROR(__xludf.DUMMYFUNCTION("""COMPUTED_VALUE"""),"CHAVINILLO")</f>
        <v>CHAVINILLO</v>
      </c>
      <c r="H1016" s="25" t="str">
        <f ca="1">IFERROR(__xludf.DUMMYFUNCTION("""COMPUTED_VALUE"""),"RURAL")</f>
        <v>RURAL</v>
      </c>
      <c r="I1016" s="25" t="str">
        <f ca="1">IFERROR(__xludf.DUMMYFUNCTION("""COMPUTED_VALUE"""),"Prioridad 2")</f>
        <v>Prioridad 2</v>
      </c>
      <c r="J1016" s="43" t="s">
        <v>263</v>
      </c>
    </row>
    <row r="1017" spans="2:10">
      <c r="B1017" s="25" t="str">
        <f ca="1">IFERROR(__xludf.DUMMYFUNCTION("""COMPUTED_VALUE"""),"MUNICIPALIDAD DISTRITAL")</f>
        <v>MUNICIPALIDAD DISTRITAL</v>
      </c>
      <c r="C1017" s="25" t="str">
        <f ca="1">IFERROR(__xludf.DUMMYFUNCTION("""COMPUTED_VALUE"""),"MUNICIPALIDAD DISTRITAL DE CAHUAC")</f>
        <v>MUNICIPALIDAD DISTRITAL DE CAHUAC</v>
      </c>
      <c r="D1017" s="25" t="str">
        <f ca="1">IFERROR(__xludf.DUMMYFUNCTION("""COMPUTED_VALUE"""),"JUNÍN")</f>
        <v>JUNÍN</v>
      </c>
      <c r="E1017" s="25" t="str">
        <f ca="1">IFERROR(__xludf.DUMMYFUNCTION("""COMPUTED_VALUE"""),"HUÁNUCO")</f>
        <v>HUÁNUCO</v>
      </c>
      <c r="F1017" s="25" t="str">
        <f ca="1">IFERROR(__xludf.DUMMYFUNCTION("""COMPUTED_VALUE"""),"YAROWILCA")</f>
        <v>YAROWILCA</v>
      </c>
      <c r="G1017" s="25" t="str">
        <f ca="1">IFERROR(__xludf.DUMMYFUNCTION("""COMPUTED_VALUE"""),"CAHUAC")</f>
        <v>CAHUAC</v>
      </c>
      <c r="H1017" s="25" t="str">
        <f ca="1">IFERROR(__xludf.DUMMYFUNCTION("""COMPUTED_VALUE"""),"RURAL")</f>
        <v>RURAL</v>
      </c>
      <c r="I1017" s="25" t="str">
        <f ca="1">IFERROR(__xludf.DUMMYFUNCTION("""COMPUTED_VALUE"""),"Prioridad 4")</f>
        <v>Prioridad 4</v>
      </c>
      <c r="J1017" s="43" t="s">
        <v>263</v>
      </c>
    </row>
    <row r="1018" spans="2:10">
      <c r="B1018" s="25" t="str">
        <f ca="1">IFERROR(__xludf.DUMMYFUNCTION("""COMPUTED_VALUE"""),"MUNICIPALIDAD DISTRITAL")</f>
        <v>MUNICIPALIDAD DISTRITAL</v>
      </c>
      <c r="C1018" s="25" t="str">
        <f ca="1">IFERROR(__xludf.DUMMYFUNCTION("""COMPUTED_VALUE"""),"MUNICIPALIDAD DISTRITAL DE CHACABAMBA")</f>
        <v>MUNICIPALIDAD DISTRITAL DE CHACABAMBA</v>
      </c>
      <c r="D1018" s="25" t="str">
        <f ca="1">IFERROR(__xludf.DUMMYFUNCTION("""COMPUTED_VALUE"""),"JUNÍN")</f>
        <v>JUNÍN</v>
      </c>
      <c r="E1018" s="25" t="str">
        <f ca="1">IFERROR(__xludf.DUMMYFUNCTION("""COMPUTED_VALUE"""),"HUÁNUCO")</f>
        <v>HUÁNUCO</v>
      </c>
      <c r="F1018" s="25" t="str">
        <f ca="1">IFERROR(__xludf.DUMMYFUNCTION("""COMPUTED_VALUE"""),"YAROWILCA")</f>
        <v>YAROWILCA</v>
      </c>
      <c r="G1018" s="25" t="str">
        <f ca="1">IFERROR(__xludf.DUMMYFUNCTION("""COMPUTED_VALUE"""),"CHACABAMBA")</f>
        <v>CHACABAMBA</v>
      </c>
      <c r="H1018" s="25" t="str">
        <f ca="1">IFERROR(__xludf.DUMMYFUNCTION("""COMPUTED_VALUE"""),"RURAL")</f>
        <v>RURAL</v>
      </c>
      <c r="I1018" s="25" t="str">
        <f ca="1">IFERROR(__xludf.DUMMYFUNCTION("""COMPUTED_VALUE"""),"Prioridad 5")</f>
        <v>Prioridad 5</v>
      </c>
      <c r="J1018" s="43" t="s">
        <v>263</v>
      </c>
    </row>
    <row r="1019" spans="2:10">
      <c r="B1019" s="25" t="str">
        <f ca="1">IFERROR(__xludf.DUMMYFUNCTION("""COMPUTED_VALUE"""),"MUNICIPALIDAD DISTRITAL")</f>
        <v>MUNICIPALIDAD DISTRITAL</v>
      </c>
      <c r="C1019" s="25" t="str">
        <f ca="1">IFERROR(__xludf.DUMMYFUNCTION("""COMPUTED_VALUE"""),"MUNICIPALIDAD DISTRITAL DE APARICIO POMARES")</f>
        <v>MUNICIPALIDAD DISTRITAL DE APARICIO POMARES</v>
      </c>
      <c r="D1019" s="25" t="str">
        <f ca="1">IFERROR(__xludf.DUMMYFUNCTION("""COMPUTED_VALUE"""),"JUNÍN")</f>
        <v>JUNÍN</v>
      </c>
      <c r="E1019" s="25" t="str">
        <f ca="1">IFERROR(__xludf.DUMMYFUNCTION("""COMPUTED_VALUE"""),"HUÁNUCO")</f>
        <v>HUÁNUCO</v>
      </c>
      <c r="F1019" s="25" t="str">
        <f ca="1">IFERROR(__xludf.DUMMYFUNCTION("""COMPUTED_VALUE"""),"YAROWILCA")</f>
        <v>YAROWILCA</v>
      </c>
      <c r="G1019" s="25" t="str">
        <f ca="1">IFERROR(__xludf.DUMMYFUNCTION("""COMPUTED_VALUE"""),"APARICIO POMARES")</f>
        <v>APARICIO POMARES</v>
      </c>
      <c r="H1019" s="25" t="str">
        <f ca="1">IFERROR(__xludf.DUMMYFUNCTION("""COMPUTED_VALUE"""),"RURAL")</f>
        <v>RURAL</v>
      </c>
      <c r="I1019" s="25" t="str">
        <f ca="1">IFERROR(__xludf.DUMMYFUNCTION("""COMPUTED_VALUE"""),"Prioridad 5")</f>
        <v>Prioridad 5</v>
      </c>
      <c r="J1019" s="43" t="s">
        <v>263</v>
      </c>
    </row>
    <row r="1020" spans="2:10">
      <c r="B1020" s="25" t="str">
        <f ca="1">IFERROR(__xludf.DUMMYFUNCTION("""COMPUTED_VALUE"""),"MUNICIPALIDAD DISTRITAL")</f>
        <v>MUNICIPALIDAD DISTRITAL</v>
      </c>
      <c r="C1020" s="25" t="str">
        <f ca="1">IFERROR(__xludf.DUMMYFUNCTION("""COMPUTED_VALUE"""),"MUNICIPALIDAD DISTRITAL DE JACAS CHICO")</f>
        <v>MUNICIPALIDAD DISTRITAL DE JACAS CHICO</v>
      </c>
      <c r="D1020" s="25" t="str">
        <f ca="1">IFERROR(__xludf.DUMMYFUNCTION("""COMPUTED_VALUE"""),"JUNÍN")</f>
        <v>JUNÍN</v>
      </c>
      <c r="E1020" s="25" t="str">
        <f ca="1">IFERROR(__xludf.DUMMYFUNCTION("""COMPUTED_VALUE"""),"HUÁNUCO")</f>
        <v>HUÁNUCO</v>
      </c>
      <c r="F1020" s="25" t="str">
        <f ca="1">IFERROR(__xludf.DUMMYFUNCTION("""COMPUTED_VALUE"""),"YAROWILCA")</f>
        <v>YAROWILCA</v>
      </c>
      <c r="G1020" s="25" t="str">
        <f ca="1">IFERROR(__xludf.DUMMYFUNCTION("""COMPUTED_VALUE"""),"JACAS CHICO")</f>
        <v>JACAS CHICO</v>
      </c>
      <c r="H1020" s="25" t="str">
        <f ca="1">IFERROR(__xludf.DUMMYFUNCTION("""COMPUTED_VALUE"""),"RURAL")</f>
        <v>RURAL</v>
      </c>
      <c r="I1020" s="25" t="str">
        <f ca="1">IFERROR(__xludf.DUMMYFUNCTION("""COMPUTED_VALUE"""),"Prioridad 5")</f>
        <v>Prioridad 5</v>
      </c>
      <c r="J1020" s="43" t="s">
        <v>263</v>
      </c>
    </row>
    <row r="1021" spans="2:10">
      <c r="B1021" s="25" t="str">
        <f ca="1">IFERROR(__xludf.DUMMYFUNCTION("""COMPUTED_VALUE"""),"MUNICIPALIDAD DISTRITAL")</f>
        <v>MUNICIPALIDAD DISTRITAL</v>
      </c>
      <c r="C1021" s="25" t="str">
        <f ca="1">IFERROR(__xludf.DUMMYFUNCTION("""COMPUTED_VALUE"""),"MUNICIPALIDAD DISTRITAL DE OBAS")</f>
        <v>MUNICIPALIDAD DISTRITAL DE OBAS</v>
      </c>
      <c r="D1021" s="25" t="str">
        <f ca="1">IFERROR(__xludf.DUMMYFUNCTION("""COMPUTED_VALUE"""),"JUNÍN")</f>
        <v>JUNÍN</v>
      </c>
      <c r="E1021" s="25" t="str">
        <f ca="1">IFERROR(__xludf.DUMMYFUNCTION("""COMPUTED_VALUE"""),"HUÁNUCO")</f>
        <v>HUÁNUCO</v>
      </c>
      <c r="F1021" s="25" t="str">
        <f ca="1">IFERROR(__xludf.DUMMYFUNCTION("""COMPUTED_VALUE"""),"YAROWILCA")</f>
        <v>YAROWILCA</v>
      </c>
      <c r="G1021" s="25" t="str">
        <f ca="1">IFERROR(__xludf.DUMMYFUNCTION("""COMPUTED_VALUE"""),"OBAS")</f>
        <v>OBAS</v>
      </c>
      <c r="H1021" s="25" t="str">
        <f ca="1">IFERROR(__xludf.DUMMYFUNCTION("""COMPUTED_VALUE"""),"RURAL")</f>
        <v>RURAL</v>
      </c>
      <c r="I1021" s="25" t="str">
        <f ca="1">IFERROR(__xludf.DUMMYFUNCTION("""COMPUTED_VALUE"""),"Prioridad 5")</f>
        <v>Prioridad 5</v>
      </c>
      <c r="J1021" s="43" t="s">
        <v>263</v>
      </c>
    </row>
    <row r="1022" spans="2:10">
      <c r="B1022" s="25" t="str">
        <f ca="1">IFERROR(__xludf.DUMMYFUNCTION("""COMPUTED_VALUE"""),"MUNICIPALIDAD DISTRITAL")</f>
        <v>MUNICIPALIDAD DISTRITAL</v>
      </c>
      <c r="C1022" s="25" t="str">
        <f ca="1">IFERROR(__xludf.DUMMYFUNCTION("""COMPUTED_VALUE"""),"MUNICIPALIDAD DISTRITAL DE PAMPAMARCA EN YAROWILCA")</f>
        <v>MUNICIPALIDAD DISTRITAL DE PAMPAMARCA EN YAROWILCA</v>
      </c>
      <c r="D1022" s="25" t="str">
        <f ca="1">IFERROR(__xludf.DUMMYFUNCTION("""COMPUTED_VALUE"""),"JUNÍN")</f>
        <v>JUNÍN</v>
      </c>
      <c r="E1022" s="25" t="str">
        <f ca="1">IFERROR(__xludf.DUMMYFUNCTION("""COMPUTED_VALUE"""),"HUÁNUCO")</f>
        <v>HUÁNUCO</v>
      </c>
      <c r="F1022" s="25" t="str">
        <f ca="1">IFERROR(__xludf.DUMMYFUNCTION("""COMPUTED_VALUE"""),"YAROWILCA")</f>
        <v>YAROWILCA</v>
      </c>
      <c r="G1022" s="25" t="str">
        <f ca="1">IFERROR(__xludf.DUMMYFUNCTION("""COMPUTED_VALUE"""),"PAMPAMARCA")</f>
        <v>PAMPAMARCA</v>
      </c>
      <c r="H1022" s="25" t="str">
        <f ca="1">IFERROR(__xludf.DUMMYFUNCTION("""COMPUTED_VALUE"""),"RURAL")</f>
        <v>RURAL</v>
      </c>
      <c r="I1022" s="25" t="str">
        <f ca="1">IFERROR(__xludf.DUMMYFUNCTION("""COMPUTED_VALUE"""),"Prioridad 5")</f>
        <v>Prioridad 5</v>
      </c>
      <c r="J1022" s="43" t="s">
        <v>263</v>
      </c>
    </row>
    <row r="1023" spans="2:10">
      <c r="B1023" s="25" t="str">
        <f ca="1">IFERROR(__xludf.DUMMYFUNCTION("""COMPUTED_VALUE"""),"MUNICIPALIDAD DISTRITAL")</f>
        <v>MUNICIPALIDAD DISTRITAL</v>
      </c>
      <c r="C1023" s="25" t="str">
        <f ca="1">IFERROR(__xludf.DUMMYFUNCTION("""COMPUTED_VALUE"""),"MUNICIPALIDAD DISTRITAL DE CHORAS")</f>
        <v>MUNICIPALIDAD DISTRITAL DE CHORAS</v>
      </c>
      <c r="D1023" s="25" t="str">
        <f ca="1">IFERROR(__xludf.DUMMYFUNCTION("""COMPUTED_VALUE"""),"JUNÍN")</f>
        <v>JUNÍN</v>
      </c>
      <c r="E1023" s="25" t="str">
        <f ca="1">IFERROR(__xludf.DUMMYFUNCTION("""COMPUTED_VALUE"""),"HUÁNUCO")</f>
        <v>HUÁNUCO</v>
      </c>
      <c r="F1023" s="25" t="str">
        <f ca="1">IFERROR(__xludf.DUMMYFUNCTION("""COMPUTED_VALUE"""),"YAROWILCA")</f>
        <v>YAROWILCA</v>
      </c>
      <c r="G1023" s="25" t="str">
        <f ca="1">IFERROR(__xludf.DUMMYFUNCTION("""COMPUTED_VALUE"""),"CHORAS")</f>
        <v>CHORAS</v>
      </c>
      <c r="H1023" s="25" t="str">
        <f ca="1">IFERROR(__xludf.DUMMYFUNCTION("""COMPUTED_VALUE"""),"RURAL")</f>
        <v>RURAL</v>
      </c>
      <c r="I1023" s="25" t="str">
        <f ca="1">IFERROR(__xludf.DUMMYFUNCTION("""COMPUTED_VALUE"""),"Prioridad 5")</f>
        <v>Prioridad 5</v>
      </c>
      <c r="J1023" s="43" t="s">
        <v>263</v>
      </c>
    </row>
    <row r="1024" spans="2:10">
      <c r="B1024" s="25" t="str">
        <f ca="1">IFERROR(__xludf.DUMMYFUNCTION("""COMPUTED_VALUE"""),"MUNICIPALIDAD PROVINCIAL")</f>
        <v>MUNICIPALIDAD PROVINCIAL</v>
      </c>
      <c r="C1024" s="25" t="str">
        <f ca="1">IFERROR(__xludf.DUMMYFUNCTION("""COMPUTED_VALUE"""),"MUNICIPALIDAD PROVINCIAL DE CHINCHA")</f>
        <v>MUNICIPALIDAD PROVINCIAL DE CHINCHA</v>
      </c>
      <c r="D1024" s="25" t="str">
        <f ca="1">IFERROR(__xludf.DUMMYFUNCTION("""COMPUTED_VALUE"""),"ICA")</f>
        <v>ICA</v>
      </c>
      <c r="E1024" s="25" t="str">
        <f ca="1">IFERROR(__xludf.DUMMYFUNCTION("""COMPUTED_VALUE"""),"ICA")</f>
        <v>ICA</v>
      </c>
      <c r="F1024" s="25" t="str">
        <f ca="1">IFERROR(__xludf.DUMMYFUNCTION("""COMPUTED_VALUE"""),"CHINCHA")</f>
        <v>CHINCHA</v>
      </c>
      <c r="G1024" s="25" t="str">
        <f ca="1">IFERROR(__xludf.DUMMYFUNCTION("""COMPUTED_VALUE"""),"CHINCHA ALTA")</f>
        <v>CHINCHA ALTA</v>
      </c>
      <c r="H1024" s="25" t="str">
        <f ca="1">IFERROR(__xludf.DUMMYFUNCTION("""COMPUTED_VALUE"""),"URBANO")</f>
        <v>URBANO</v>
      </c>
      <c r="I1024" s="25" t="str">
        <f ca="1">IFERROR(__xludf.DUMMYFUNCTION("""COMPUTED_VALUE"""),"Prioridad 1")</f>
        <v>Prioridad 1</v>
      </c>
      <c r="J1024" s="43" t="s">
        <v>263</v>
      </c>
    </row>
    <row r="1025" spans="2:10">
      <c r="B1025" s="25" t="str">
        <f ca="1">IFERROR(__xludf.DUMMYFUNCTION("""COMPUTED_VALUE"""),"MUNICIPALIDAD DISTRITAL")</f>
        <v>MUNICIPALIDAD DISTRITAL</v>
      </c>
      <c r="C1025" s="25" t="str">
        <f ca="1">IFERROR(__xludf.DUMMYFUNCTION("""COMPUTED_VALUE"""),"MUNICIPALIDAD DISTRITAL DE ALTO LARAN")</f>
        <v>MUNICIPALIDAD DISTRITAL DE ALTO LARAN</v>
      </c>
      <c r="D1025" s="25" t="str">
        <f ca="1">IFERROR(__xludf.DUMMYFUNCTION("""COMPUTED_VALUE"""),"ICA")</f>
        <v>ICA</v>
      </c>
      <c r="E1025" s="25" t="str">
        <f ca="1">IFERROR(__xludf.DUMMYFUNCTION("""COMPUTED_VALUE"""),"ICA")</f>
        <v>ICA</v>
      </c>
      <c r="F1025" s="25" t="str">
        <f ca="1">IFERROR(__xludf.DUMMYFUNCTION("""COMPUTED_VALUE"""),"CHINCHA")</f>
        <v>CHINCHA</v>
      </c>
      <c r="G1025" s="25" t="str">
        <f ca="1">IFERROR(__xludf.DUMMYFUNCTION("""COMPUTED_VALUE"""),"ALTO LARAN")</f>
        <v>ALTO LARAN</v>
      </c>
      <c r="H1025" s="25" t="str">
        <f ca="1">IFERROR(__xludf.DUMMYFUNCTION("""COMPUTED_VALUE"""),"URBANO")</f>
        <v>URBANO</v>
      </c>
      <c r="I1025" s="25" t="str">
        <f ca="1">IFERROR(__xludf.DUMMYFUNCTION("""COMPUTED_VALUE"""),"Prioridad 2")</f>
        <v>Prioridad 2</v>
      </c>
      <c r="J1025" s="43" t="s">
        <v>263</v>
      </c>
    </row>
    <row r="1026" spans="2:10">
      <c r="B1026" s="25" t="str">
        <f ca="1">IFERROR(__xludf.DUMMYFUNCTION("""COMPUTED_VALUE"""),"MUNICIPALIDAD DISTRITAL")</f>
        <v>MUNICIPALIDAD DISTRITAL</v>
      </c>
      <c r="C1026" s="25" t="str">
        <f ca="1">IFERROR(__xludf.DUMMYFUNCTION("""COMPUTED_VALUE"""),"MUNICIPALIDAD DISTRITAL DE CHAVIN")</f>
        <v>MUNICIPALIDAD DISTRITAL DE CHAVIN</v>
      </c>
      <c r="D1026" s="25" t="str">
        <f ca="1">IFERROR(__xludf.DUMMYFUNCTION("""COMPUTED_VALUE"""),"ICA")</f>
        <v>ICA</v>
      </c>
      <c r="E1026" s="25" t="str">
        <f ca="1">IFERROR(__xludf.DUMMYFUNCTION("""COMPUTED_VALUE"""),"ICA")</f>
        <v>ICA</v>
      </c>
      <c r="F1026" s="25" t="str">
        <f ca="1">IFERROR(__xludf.DUMMYFUNCTION("""COMPUTED_VALUE"""),"CHINCHA")</f>
        <v>CHINCHA</v>
      </c>
      <c r="G1026" s="25" t="str">
        <f ca="1">IFERROR(__xludf.DUMMYFUNCTION("""COMPUTED_VALUE"""),"CHAVIN")</f>
        <v>CHAVIN</v>
      </c>
      <c r="H1026" s="25" t="str">
        <f ca="1">IFERROR(__xludf.DUMMYFUNCTION("""COMPUTED_VALUE"""),"RURAL")</f>
        <v>RURAL</v>
      </c>
      <c r="I1026" s="25" t="str">
        <f ca="1">IFERROR(__xludf.DUMMYFUNCTION("""COMPUTED_VALUE"""),"Prioridad 5")</f>
        <v>Prioridad 5</v>
      </c>
      <c r="J1026" s="43" t="s">
        <v>263</v>
      </c>
    </row>
    <row r="1027" spans="2:10">
      <c r="B1027" s="25" t="str">
        <f ca="1">IFERROR(__xludf.DUMMYFUNCTION("""COMPUTED_VALUE"""),"MUNICIPALIDAD DISTRITAL")</f>
        <v>MUNICIPALIDAD DISTRITAL</v>
      </c>
      <c r="C1027" s="25" t="str">
        <f ca="1">IFERROR(__xludf.DUMMYFUNCTION("""COMPUTED_VALUE"""),"MUNICIPALIDAD DISTRITAL DE CHINCHA BAJA")</f>
        <v>MUNICIPALIDAD DISTRITAL DE CHINCHA BAJA</v>
      </c>
      <c r="D1027" s="25" t="str">
        <f ca="1">IFERROR(__xludf.DUMMYFUNCTION("""COMPUTED_VALUE"""),"ICA")</f>
        <v>ICA</v>
      </c>
      <c r="E1027" s="25" t="str">
        <f ca="1">IFERROR(__xludf.DUMMYFUNCTION("""COMPUTED_VALUE"""),"ICA")</f>
        <v>ICA</v>
      </c>
      <c r="F1027" s="25" t="str">
        <f ca="1">IFERROR(__xludf.DUMMYFUNCTION("""COMPUTED_VALUE"""),"CHINCHA")</f>
        <v>CHINCHA</v>
      </c>
      <c r="G1027" s="25" t="str">
        <f ca="1">IFERROR(__xludf.DUMMYFUNCTION("""COMPUTED_VALUE"""),"CHINCHA BAJA")</f>
        <v>CHINCHA BAJA</v>
      </c>
      <c r="H1027" s="25" t="str">
        <f ca="1">IFERROR(__xludf.DUMMYFUNCTION("""COMPUTED_VALUE"""),"URBANO")</f>
        <v>URBANO</v>
      </c>
      <c r="I1027" s="25" t="str">
        <f ca="1">IFERROR(__xludf.DUMMYFUNCTION("""COMPUTED_VALUE"""),"Prioridad 3")</f>
        <v>Prioridad 3</v>
      </c>
      <c r="J1027" s="43" t="s">
        <v>263</v>
      </c>
    </row>
    <row r="1028" spans="2:10">
      <c r="B1028" s="25" t="str">
        <f ca="1">IFERROR(__xludf.DUMMYFUNCTION("""COMPUTED_VALUE"""),"MUNICIPALIDAD DISTRITAL")</f>
        <v>MUNICIPALIDAD DISTRITAL</v>
      </c>
      <c r="C1028" s="25" t="str">
        <f ca="1">IFERROR(__xludf.DUMMYFUNCTION("""COMPUTED_VALUE"""),"MUNICIPALIDAD DISTRITAL DE EL CARMEN EN CHINCHA")</f>
        <v>MUNICIPALIDAD DISTRITAL DE EL CARMEN EN CHINCHA</v>
      </c>
      <c r="D1028" s="25" t="str">
        <f ca="1">IFERROR(__xludf.DUMMYFUNCTION("""COMPUTED_VALUE"""),"ICA")</f>
        <v>ICA</v>
      </c>
      <c r="E1028" s="25" t="str">
        <f ca="1">IFERROR(__xludf.DUMMYFUNCTION("""COMPUTED_VALUE"""),"ICA")</f>
        <v>ICA</v>
      </c>
      <c r="F1028" s="25" t="str">
        <f ca="1">IFERROR(__xludf.DUMMYFUNCTION("""COMPUTED_VALUE"""),"CHINCHA")</f>
        <v>CHINCHA</v>
      </c>
      <c r="G1028" s="25" t="str">
        <f ca="1">IFERROR(__xludf.DUMMYFUNCTION("""COMPUTED_VALUE"""),"EL CARMEN")</f>
        <v>EL CARMEN</v>
      </c>
      <c r="H1028" s="25" t="str">
        <f ca="1">IFERROR(__xludf.DUMMYFUNCTION("""COMPUTED_VALUE"""),"URBANO")</f>
        <v>URBANO</v>
      </c>
      <c r="I1028" s="25" t="str">
        <f ca="1">IFERROR(__xludf.DUMMYFUNCTION("""COMPUTED_VALUE"""),"Prioridad 2")</f>
        <v>Prioridad 2</v>
      </c>
      <c r="J1028" s="43" t="s">
        <v>263</v>
      </c>
    </row>
    <row r="1029" spans="2:10">
      <c r="B1029" s="25" t="str">
        <f ca="1">IFERROR(__xludf.DUMMYFUNCTION("""COMPUTED_VALUE"""),"MUNICIPALIDAD DISTRITAL")</f>
        <v>MUNICIPALIDAD DISTRITAL</v>
      </c>
      <c r="C1029" s="25" t="str">
        <f ca="1">IFERROR(__xludf.DUMMYFUNCTION("""COMPUTED_VALUE"""),"MUNICIPALIDAD DISTRITAL DE GROCIO PRADO")</f>
        <v>MUNICIPALIDAD DISTRITAL DE GROCIO PRADO</v>
      </c>
      <c r="D1029" s="25" t="str">
        <f ca="1">IFERROR(__xludf.DUMMYFUNCTION("""COMPUTED_VALUE"""),"ICA")</f>
        <v>ICA</v>
      </c>
      <c r="E1029" s="25" t="str">
        <f ca="1">IFERROR(__xludf.DUMMYFUNCTION("""COMPUTED_VALUE"""),"ICA")</f>
        <v>ICA</v>
      </c>
      <c r="F1029" s="25" t="str">
        <f ca="1">IFERROR(__xludf.DUMMYFUNCTION("""COMPUTED_VALUE"""),"CHINCHA")</f>
        <v>CHINCHA</v>
      </c>
      <c r="G1029" s="25" t="str">
        <f ca="1">IFERROR(__xludf.DUMMYFUNCTION("""COMPUTED_VALUE"""),"GROCIO PRADO")</f>
        <v>GROCIO PRADO</v>
      </c>
      <c r="H1029" s="25" t="str">
        <f ca="1">IFERROR(__xludf.DUMMYFUNCTION("""COMPUTED_VALUE"""),"URBANO")</f>
        <v>URBANO</v>
      </c>
      <c r="I1029" s="25" t="str">
        <f ca="1">IFERROR(__xludf.DUMMYFUNCTION("""COMPUTED_VALUE"""),"Prioridad 2")</f>
        <v>Prioridad 2</v>
      </c>
      <c r="J1029" s="43" t="s">
        <v>263</v>
      </c>
    </row>
    <row r="1030" spans="2:10">
      <c r="B1030" s="25" t="str">
        <f ca="1">IFERROR(__xludf.DUMMYFUNCTION("""COMPUTED_VALUE"""),"MUNICIPALIDAD DISTRITAL")</f>
        <v>MUNICIPALIDAD DISTRITAL</v>
      </c>
      <c r="C1030" s="25" t="str">
        <f ca="1">IFERROR(__xludf.DUMMYFUNCTION("""COMPUTED_VALUE"""),"MUNICIPALIDAD DISTRITAL DE PUEBLO NUEVO EN CHINCHA")</f>
        <v>MUNICIPALIDAD DISTRITAL DE PUEBLO NUEVO EN CHINCHA</v>
      </c>
      <c r="D1030" s="25" t="str">
        <f ca="1">IFERROR(__xludf.DUMMYFUNCTION("""COMPUTED_VALUE"""),"ICA")</f>
        <v>ICA</v>
      </c>
      <c r="E1030" s="25" t="str">
        <f ca="1">IFERROR(__xludf.DUMMYFUNCTION("""COMPUTED_VALUE"""),"ICA")</f>
        <v>ICA</v>
      </c>
      <c r="F1030" s="25" t="str">
        <f ca="1">IFERROR(__xludf.DUMMYFUNCTION("""COMPUTED_VALUE"""),"CHINCHA")</f>
        <v>CHINCHA</v>
      </c>
      <c r="G1030" s="25" t="str">
        <f ca="1">IFERROR(__xludf.DUMMYFUNCTION("""COMPUTED_VALUE"""),"PUEBLO NUEVO")</f>
        <v>PUEBLO NUEVO</v>
      </c>
      <c r="H1030" s="25" t="str">
        <f ca="1">IFERROR(__xludf.DUMMYFUNCTION("""COMPUTED_VALUE"""),"URBANO")</f>
        <v>URBANO</v>
      </c>
      <c r="I1030" s="25" t="str">
        <f ca="1">IFERROR(__xludf.DUMMYFUNCTION("""COMPUTED_VALUE"""),"Prioridad 2")</f>
        <v>Prioridad 2</v>
      </c>
      <c r="J1030" s="43" t="s">
        <v>263</v>
      </c>
    </row>
    <row r="1031" spans="2:10">
      <c r="B1031" s="25" t="str">
        <f ca="1">IFERROR(__xludf.DUMMYFUNCTION("""COMPUTED_VALUE"""),"MUNICIPALIDAD DISTRITAL")</f>
        <v>MUNICIPALIDAD DISTRITAL</v>
      </c>
      <c r="C1031" s="25" t="str">
        <f ca="1">IFERROR(__xludf.DUMMYFUNCTION("""COMPUTED_VALUE"""),"MUNICIPALIDAD DISTRITAL DE SAN JUAN DE YANAC")</f>
        <v>MUNICIPALIDAD DISTRITAL DE SAN JUAN DE YANAC</v>
      </c>
      <c r="D1031" s="25" t="str">
        <f ca="1">IFERROR(__xludf.DUMMYFUNCTION("""COMPUTED_VALUE"""),"ICA")</f>
        <v>ICA</v>
      </c>
      <c r="E1031" s="25" t="str">
        <f ca="1">IFERROR(__xludf.DUMMYFUNCTION("""COMPUTED_VALUE"""),"ICA")</f>
        <v>ICA</v>
      </c>
      <c r="F1031" s="25" t="str">
        <f ca="1">IFERROR(__xludf.DUMMYFUNCTION("""COMPUTED_VALUE"""),"CHINCHA")</f>
        <v>CHINCHA</v>
      </c>
      <c r="G1031" s="25" t="str">
        <f ca="1">IFERROR(__xludf.DUMMYFUNCTION("""COMPUTED_VALUE"""),"SAN JUAN DE YANAC")</f>
        <v>SAN JUAN DE YANAC</v>
      </c>
      <c r="H1031" s="25" t="str">
        <f ca="1">IFERROR(__xludf.DUMMYFUNCTION("""COMPUTED_VALUE"""),"RURAL")</f>
        <v>RURAL</v>
      </c>
      <c r="I1031" s="25" t="str">
        <f ca="1">IFERROR(__xludf.DUMMYFUNCTION("""COMPUTED_VALUE"""),"Prioridad 5")</f>
        <v>Prioridad 5</v>
      </c>
      <c r="J1031" s="43" t="s">
        <v>263</v>
      </c>
    </row>
    <row r="1032" spans="2:10">
      <c r="B1032" s="25" t="str">
        <f ca="1">IFERROR(__xludf.DUMMYFUNCTION("""COMPUTED_VALUE"""),"MUNICIPALIDAD DISTRITAL")</f>
        <v>MUNICIPALIDAD DISTRITAL</v>
      </c>
      <c r="C1032" s="25" t="str">
        <f ca="1">IFERROR(__xludf.DUMMYFUNCTION("""COMPUTED_VALUE"""),"MUNICIPALIDAD DISTRITAL DE SAN PEDRO DE HUACARPANA")</f>
        <v>MUNICIPALIDAD DISTRITAL DE SAN PEDRO DE HUACARPANA</v>
      </c>
      <c r="D1032" s="25" t="str">
        <f ca="1">IFERROR(__xludf.DUMMYFUNCTION("""COMPUTED_VALUE"""),"ICA")</f>
        <v>ICA</v>
      </c>
      <c r="E1032" s="25" t="str">
        <f ca="1">IFERROR(__xludf.DUMMYFUNCTION("""COMPUTED_VALUE"""),"ICA")</f>
        <v>ICA</v>
      </c>
      <c r="F1032" s="25" t="str">
        <f ca="1">IFERROR(__xludf.DUMMYFUNCTION("""COMPUTED_VALUE"""),"CHINCHA")</f>
        <v>CHINCHA</v>
      </c>
      <c r="G1032" s="25" t="str">
        <f ca="1">IFERROR(__xludf.DUMMYFUNCTION("""COMPUTED_VALUE"""),"SAN PEDRO DE HUACARPANA")</f>
        <v>SAN PEDRO DE HUACARPANA</v>
      </c>
      <c r="H1032" s="25" t="str">
        <f ca="1">IFERROR(__xludf.DUMMYFUNCTION("""COMPUTED_VALUE"""),"RURAL")</f>
        <v>RURAL</v>
      </c>
      <c r="I1032" s="25" t="str">
        <f ca="1">IFERROR(__xludf.DUMMYFUNCTION("""COMPUTED_VALUE"""),"Prioridad 5")</f>
        <v>Prioridad 5</v>
      </c>
      <c r="J1032" s="43" t="s">
        <v>263</v>
      </c>
    </row>
    <row r="1033" spans="2:10">
      <c r="B1033" s="25" t="str">
        <f ca="1">IFERROR(__xludf.DUMMYFUNCTION("""COMPUTED_VALUE"""),"MUNICIPALIDAD DISTRITAL")</f>
        <v>MUNICIPALIDAD DISTRITAL</v>
      </c>
      <c r="C1033" s="25" t="str">
        <f ca="1">IFERROR(__xludf.DUMMYFUNCTION("""COMPUTED_VALUE"""),"MUNICIPALIDAD DISTRITAL DE SUNAMPE")</f>
        <v>MUNICIPALIDAD DISTRITAL DE SUNAMPE</v>
      </c>
      <c r="D1033" s="25" t="str">
        <f ca="1">IFERROR(__xludf.DUMMYFUNCTION("""COMPUTED_VALUE"""),"ICA")</f>
        <v>ICA</v>
      </c>
      <c r="E1033" s="25" t="str">
        <f ca="1">IFERROR(__xludf.DUMMYFUNCTION("""COMPUTED_VALUE"""),"ICA")</f>
        <v>ICA</v>
      </c>
      <c r="F1033" s="25" t="str">
        <f ca="1">IFERROR(__xludf.DUMMYFUNCTION("""COMPUTED_VALUE"""),"CHINCHA")</f>
        <v>CHINCHA</v>
      </c>
      <c r="G1033" s="25" t="str">
        <f ca="1">IFERROR(__xludf.DUMMYFUNCTION("""COMPUTED_VALUE"""),"SUNAMPE")</f>
        <v>SUNAMPE</v>
      </c>
      <c r="H1033" s="25" t="str">
        <f ca="1">IFERROR(__xludf.DUMMYFUNCTION("""COMPUTED_VALUE"""),"URBANO")</f>
        <v>URBANO</v>
      </c>
      <c r="I1033" s="25" t="str">
        <f ca="1">IFERROR(__xludf.DUMMYFUNCTION("""COMPUTED_VALUE"""),"Prioridad 1")</f>
        <v>Prioridad 1</v>
      </c>
      <c r="J1033" s="43" t="s">
        <v>263</v>
      </c>
    </row>
    <row r="1034" spans="2:10">
      <c r="B1034" s="25" t="str">
        <f ca="1">IFERROR(__xludf.DUMMYFUNCTION("""COMPUTED_VALUE"""),"MUNICIPALIDAD DISTRITAL")</f>
        <v>MUNICIPALIDAD DISTRITAL</v>
      </c>
      <c r="C1034" s="25" t="str">
        <f ca="1">IFERROR(__xludf.DUMMYFUNCTION("""COMPUTED_VALUE"""),"MUNICIPALIDAD DISTRITAL DE TAMBO DE MORA")</f>
        <v>MUNICIPALIDAD DISTRITAL DE TAMBO DE MORA</v>
      </c>
      <c r="D1034" s="25" t="str">
        <f ca="1">IFERROR(__xludf.DUMMYFUNCTION("""COMPUTED_VALUE"""),"ICA")</f>
        <v>ICA</v>
      </c>
      <c r="E1034" s="25" t="str">
        <f ca="1">IFERROR(__xludf.DUMMYFUNCTION("""COMPUTED_VALUE"""),"ICA")</f>
        <v>ICA</v>
      </c>
      <c r="F1034" s="25" t="str">
        <f ca="1">IFERROR(__xludf.DUMMYFUNCTION("""COMPUTED_VALUE"""),"CHINCHA")</f>
        <v>CHINCHA</v>
      </c>
      <c r="G1034" s="25" t="str">
        <f ca="1">IFERROR(__xludf.DUMMYFUNCTION("""COMPUTED_VALUE"""),"TAMBO DE MORA")</f>
        <v>TAMBO DE MORA</v>
      </c>
      <c r="H1034" s="25" t="str">
        <f ca="1">IFERROR(__xludf.DUMMYFUNCTION("""COMPUTED_VALUE"""),"URBANO")</f>
        <v>URBANO</v>
      </c>
      <c r="I1034" s="25" t="str">
        <f ca="1">IFERROR(__xludf.DUMMYFUNCTION("""COMPUTED_VALUE"""),"Prioridad 2")</f>
        <v>Prioridad 2</v>
      </c>
      <c r="J1034" s="43" t="s">
        <v>263</v>
      </c>
    </row>
    <row r="1035" spans="2:10">
      <c r="B1035" s="25" t="str">
        <f ca="1">IFERROR(__xludf.DUMMYFUNCTION("""COMPUTED_VALUE"""),"MUNICIPALIDAD PROVINCIAL")</f>
        <v>MUNICIPALIDAD PROVINCIAL</v>
      </c>
      <c r="C1035" s="25" t="str">
        <f ca="1">IFERROR(__xludf.DUMMYFUNCTION("""COMPUTED_VALUE"""),"MUNICIPALIDAD PROVINCIAL DE ICA")</f>
        <v>MUNICIPALIDAD PROVINCIAL DE ICA</v>
      </c>
      <c r="D1035" s="25" t="str">
        <f ca="1">IFERROR(__xludf.DUMMYFUNCTION("""COMPUTED_VALUE"""),"ICA")</f>
        <v>ICA</v>
      </c>
      <c r="E1035" s="25" t="str">
        <f ca="1">IFERROR(__xludf.DUMMYFUNCTION("""COMPUTED_VALUE"""),"ICA")</f>
        <v>ICA</v>
      </c>
      <c r="F1035" s="25" t="str">
        <f ca="1">IFERROR(__xludf.DUMMYFUNCTION("""COMPUTED_VALUE"""),"ICA")</f>
        <v>ICA</v>
      </c>
      <c r="G1035" s="25" t="str">
        <f ca="1">IFERROR(__xludf.DUMMYFUNCTION("""COMPUTED_VALUE"""),"ICA")</f>
        <v>ICA</v>
      </c>
      <c r="H1035" s="25" t="str">
        <f ca="1">IFERROR(__xludf.DUMMYFUNCTION("""COMPUTED_VALUE"""),"URBANO")</f>
        <v>URBANO</v>
      </c>
      <c r="I1035" s="25" t="str">
        <f ca="1">IFERROR(__xludf.DUMMYFUNCTION("""COMPUTED_VALUE"""),"Prioridad 1")</f>
        <v>Prioridad 1</v>
      </c>
      <c r="J1035" s="43" t="s">
        <v>263</v>
      </c>
    </row>
    <row r="1036" spans="2:10">
      <c r="B1036" s="25" t="str">
        <f ca="1">IFERROR(__xludf.DUMMYFUNCTION("""COMPUTED_VALUE"""),"MUNICIPALIDAD DISTRITAL")</f>
        <v>MUNICIPALIDAD DISTRITAL</v>
      </c>
      <c r="C1036" s="25" t="str">
        <f ca="1">IFERROR(__xludf.DUMMYFUNCTION("""COMPUTED_VALUE"""),"MUNICIPALIDAD DISTRITAL DE LA TINGUIÑA")</f>
        <v>MUNICIPALIDAD DISTRITAL DE LA TINGUIÑA</v>
      </c>
      <c r="D1036" s="25" t="str">
        <f ca="1">IFERROR(__xludf.DUMMYFUNCTION("""COMPUTED_VALUE"""),"ICA")</f>
        <v>ICA</v>
      </c>
      <c r="E1036" s="25" t="str">
        <f ca="1">IFERROR(__xludf.DUMMYFUNCTION("""COMPUTED_VALUE"""),"ICA")</f>
        <v>ICA</v>
      </c>
      <c r="F1036" s="25" t="str">
        <f ca="1">IFERROR(__xludf.DUMMYFUNCTION("""COMPUTED_VALUE"""),"ICA")</f>
        <v>ICA</v>
      </c>
      <c r="G1036" s="25" t="str">
        <f ca="1">IFERROR(__xludf.DUMMYFUNCTION("""COMPUTED_VALUE"""),"LA TINGUIÑA")</f>
        <v>LA TINGUIÑA</v>
      </c>
      <c r="H1036" s="25" t="str">
        <f ca="1">IFERROR(__xludf.DUMMYFUNCTION("""COMPUTED_VALUE"""),"URBANO")</f>
        <v>URBANO</v>
      </c>
      <c r="I1036" s="25" t="str">
        <f ca="1">IFERROR(__xludf.DUMMYFUNCTION("""COMPUTED_VALUE"""),"Prioridad 2")</f>
        <v>Prioridad 2</v>
      </c>
      <c r="J1036" s="43" t="s">
        <v>263</v>
      </c>
    </row>
    <row r="1037" spans="2:10">
      <c r="B1037" s="25" t="str">
        <f ca="1">IFERROR(__xludf.DUMMYFUNCTION("""COMPUTED_VALUE"""),"MUNICIPALIDAD DISTRITAL")</f>
        <v>MUNICIPALIDAD DISTRITAL</v>
      </c>
      <c r="C1037" s="25" t="str">
        <f ca="1">IFERROR(__xludf.DUMMYFUNCTION("""COMPUTED_VALUE"""),"MUNICIPALIDAD DISTRITAL DE LOS AQUIJES")</f>
        <v>MUNICIPALIDAD DISTRITAL DE LOS AQUIJES</v>
      </c>
      <c r="D1037" s="25" t="str">
        <f ca="1">IFERROR(__xludf.DUMMYFUNCTION("""COMPUTED_VALUE"""),"ICA")</f>
        <v>ICA</v>
      </c>
      <c r="E1037" s="25" t="str">
        <f ca="1">IFERROR(__xludf.DUMMYFUNCTION("""COMPUTED_VALUE"""),"ICA")</f>
        <v>ICA</v>
      </c>
      <c r="F1037" s="25" t="str">
        <f ca="1">IFERROR(__xludf.DUMMYFUNCTION("""COMPUTED_VALUE"""),"ICA")</f>
        <v>ICA</v>
      </c>
      <c r="G1037" s="25" t="str">
        <f ca="1">IFERROR(__xludf.DUMMYFUNCTION("""COMPUTED_VALUE"""),"LOS AQUIJES")</f>
        <v>LOS AQUIJES</v>
      </c>
      <c r="H1037" s="25" t="str">
        <f ca="1">IFERROR(__xludf.DUMMYFUNCTION("""COMPUTED_VALUE"""),"URBANO")</f>
        <v>URBANO</v>
      </c>
      <c r="I1037" s="25" t="str">
        <f ca="1">IFERROR(__xludf.DUMMYFUNCTION("""COMPUTED_VALUE"""),"Prioridad 3")</f>
        <v>Prioridad 3</v>
      </c>
      <c r="J1037" s="43" t="s">
        <v>263</v>
      </c>
    </row>
    <row r="1038" spans="2:10">
      <c r="B1038" s="25" t="str">
        <f ca="1">IFERROR(__xludf.DUMMYFUNCTION("""COMPUTED_VALUE"""),"MUNICIPALIDAD DISTRITAL")</f>
        <v>MUNICIPALIDAD DISTRITAL</v>
      </c>
      <c r="C1038" s="25" t="str">
        <f ca="1">IFERROR(__xludf.DUMMYFUNCTION("""COMPUTED_VALUE"""),"MUNICIPALIDAD DISTRITAL DE OCUCAJE")</f>
        <v>MUNICIPALIDAD DISTRITAL DE OCUCAJE</v>
      </c>
      <c r="D1038" s="25" t="str">
        <f ca="1">IFERROR(__xludf.DUMMYFUNCTION("""COMPUTED_VALUE"""),"ICA")</f>
        <v>ICA</v>
      </c>
      <c r="E1038" s="25" t="str">
        <f ca="1">IFERROR(__xludf.DUMMYFUNCTION("""COMPUTED_VALUE"""),"ICA")</f>
        <v>ICA</v>
      </c>
      <c r="F1038" s="25" t="str">
        <f ca="1">IFERROR(__xludf.DUMMYFUNCTION("""COMPUTED_VALUE"""),"ICA")</f>
        <v>ICA</v>
      </c>
      <c r="G1038" s="25" t="str">
        <f ca="1">IFERROR(__xludf.DUMMYFUNCTION("""COMPUTED_VALUE"""),"OCUCAJE")</f>
        <v>OCUCAJE</v>
      </c>
      <c r="H1038" s="25" t="str">
        <f ca="1">IFERROR(__xludf.DUMMYFUNCTION("""COMPUTED_VALUE"""),"URBANO")</f>
        <v>URBANO</v>
      </c>
      <c r="I1038" s="25" t="str">
        <f ca="1">IFERROR(__xludf.DUMMYFUNCTION("""COMPUTED_VALUE"""),"Prioridad 3")</f>
        <v>Prioridad 3</v>
      </c>
      <c r="J1038" s="43" t="s">
        <v>263</v>
      </c>
    </row>
    <row r="1039" spans="2:10">
      <c r="B1039" s="25" t="str">
        <f ca="1">IFERROR(__xludf.DUMMYFUNCTION("""COMPUTED_VALUE"""),"MUNICIPALIDAD DISTRITAL")</f>
        <v>MUNICIPALIDAD DISTRITAL</v>
      </c>
      <c r="C1039" s="25" t="str">
        <f ca="1">IFERROR(__xludf.DUMMYFUNCTION("""COMPUTED_VALUE"""),"MUNICIPALIDAD DISTRITAL DE PACHACUTEC")</f>
        <v>MUNICIPALIDAD DISTRITAL DE PACHACUTEC</v>
      </c>
      <c r="D1039" s="25" t="str">
        <f ca="1">IFERROR(__xludf.DUMMYFUNCTION("""COMPUTED_VALUE"""),"ICA")</f>
        <v>ICA</v>
      </c>
      <c r="E1039" s="25" t="str">
        <f ca="1">IFERROR(__xludf.DUMMYFUNCTION("""COMPUTED_VALUE"""),"ICA")</f>
        <v>ICA</v>
      </c>
      <c r="F1039" s="25" t="str">
        <f ca="1">IFERROR(__xludf.DUMMYFUNCTION("""COMPUTED_VALUE"""),"ICA")</f>
        <v>ICA</v>
      </c>
      <c r="G1039" s="25" t="str">
        <f ca="1">IFERROR(__xludf.DUMMYFUNCTION("""COMPUTED_VALUE"""),"PACHACUTEC")</f>
        <v>PACHACUTEC</v>
      </c>
      <c r="H1039" s="25" t="str">
        <f ca="1">IFERROR(__xludf.DUMMYFUNCTION("""COMPUTED_VALUE"""),"URBANO")</f>
        <v>URBANO</v>
      </c>
      <c r="I1039" s="25" t="str">
        <f ca="1">IFERROR(__xludf.DUMMYFUNCTION("""COMPUTED_VALUE"""),"Prioridad 1")</f>
        <v>Prioridad 1</v>
      </c>
      <c r="J1039" s="43" t="s">
        <v>263</v>
      </c>
    </row>
    <row r="1040" spans="2:10">
      <c r="B1040" s="25" t="str">
        <f ca="1">IFERROR(__xludf.DUMMYFUNCTION("""COMPUTED_VALUE"""),"MUNICIPALIDAD DISTRITAL")</f>
        <v>MUNICIPALIDAD DISTRITAL</v>
      </c>
      <c r="C1040" s="25" t="str">
        <f ca="1">IFERROR(__xludf.DUMMYFUNCTION("""COMPUTED_VALUE"""),"MUNICIPALIDAD DISTRITAL DE PARCONA")</f>
        <v>MUNICIPALIDAD DISTRITAL DE PARCONA</v>
      </c>
      <c r="D1040" s="25" t="str">
        <f ca="1">IFERROR(__xludf.DUMMYFUNCTION("""COMPUTED_VALUE"""),"ICA")</f>
        <v>ICA</v>
      </c>
      <c r="E1040" s="25" t="str">
        <f ca="1">IFERROR(__xludf.DUMMYFUNCTION("""COMPUTED_VALUE"""),"ICA")</f>
        <v>ICA</v>
      </c>
      <c r="F1040" s="25" t="str">
        <f ca="1">IFERROR(__xludf.DUMMYFUNCTION("""COMPUTED_VALUE"""),"ICA")</f>
        <v>ICA</v>
      </c>
      <c r="G1040" s="25" t="str">
        <f ca="1">IFERROR(__xludf.DUMMYFUNCTION("""COMPUTED_VALUE"""),"PARCONA")</f>
        <v>PARCONA</v>
      </c>
      <c r="H1040" s="25" t="str">
        <f ca="1">IFERROR(__xludf.DUMMYFUNCTION("""COMPUTED_VALUE"""),"URBANO")</f>
        <v>URBANO</v>
      </c>
      <c r="I1040" s="25" t="str">
        <f ca="1">IFERROR(__xludf.DUMMYFUNCTION("""COMPUTED_VALUE"""),"Prioridad 2")</f>
        <v>Prioridad 2</v>
      </c>
      <c r="J1040" s="43" t="s">
        <v>263</v>
      </c>
    </row>
    <row r="1041" spans="2:10">
      <c r="B1041" s="25" t="str">
        <f ca="1">IFERROR(__xludf.DUMMYFUNCTION("""COMPUTED_VALUE"""),"MUNICIPALIDAD DISTRITAL")</f>
        <v>MUNICIPALIDAD DISTRITAL</v>
      </c>
      <c r="C1041" s="25" t="str">
        <f ca="1">IFERROR(__xludf.DUMMYFUNCTION("""COMPUTED_VALUE"""),"MUNICIPALIDAD DISTRITAL DE PUEBLO NUEVO EN ICA")</f>
        <v>MUNICIPALIDAD DISTRITAL DE PUEBLO NUEVO EN ICA</v>
      </c>
      <c r="D1041" s="25" t="str">
        <f ca="1">IFERROR(__xludf.DUMMYFUNCTION("""COMPUTED_VALUE"""),"ICA")</f>
        <v>ICA</v>
      </c>
      <c r="E1041" s="25" t="str">
        <f ca="1">IFERROR(__xludf.DUMMYFUNCTION("""COMPUTED_VALUE"""),"ICA")</f>
        <v>ICA</v>
      </c>
      <c r="F1041" s="25" t="str">
        <f ca="1">IFERROR(__xludf.DUMMYFUNCTION("""COMPUTED_VALUE"""),"ICA")</f>
        <v>ICA</v>
      </c>
      <c r="G1041" s="25" t="str">
        <f ca="1">IFERROR(__xludf.DUMMYFUNCTION("""COMPUTED_VALUE"""),"PUEBLO NUEVO")</f>
        <v>PUEBLO NUEVO</v>
      </c>
      <c r="H1041" s="25" t="str">
        <f ca="1">IFERROR(__xludf.DUMMYFUNCTION("""COMPUTED_VALUE"""),"URBANO")</f>
        <v>URBANO</v>
      </c>
      <c r="I1041" s="25" t="str">
        <f ca="1">IFERROR(__xludf.DUMMYFUNCTION("""COMPUTED_VALUE"""),"Prioridad 4")</f>
        <v>Prioridad 4</v>
      </c>
      <c r="J1041" s="43" t="s">
        <v>263</v>
      </c>
    </row>
    <row r="1042" spans="2:10">
      <c r="B1042" s="25" t="str">
        <f ca="1">IFERROR(__xludf.DUMMYFUNCTION("""COMPUTED_VALUE"""),"MUNICIPALIDAD DISTRITAL")</f>
        <v>MUNICIPALIDAD DISTRITAL</v>
      </c>
      <c r="C1042" s="25" t="str">
        <f ca="1">IFERROR(__xludf.DUMMYFUNCTION("""COMPUTED_VALUE"""),"MUNICIPALIDAD DISTRITAL DE SALAS EN ICA")</f>
        <v>MUNICIPALIDAD DISTRITAL DE SALAS EN ICA</v>
      </c>
      <c r="D1042" s="25" t="str">
        <f ca="1">IFERROR(__xludf.DUMMYFUNCTION("""COMPUTED_VALUE"""),"ICA")</f>
        <v>ICA</v>
      </c>
      <c r="E1042" s="25" t="str">
        <f ca="1">IFERROR(__xludf.DUMMYFUNCTION("""COMPUTED_VALUE"""),"ICA")</f>
        <v>ICA</v>
      </c>
      <c r="F1042" s="25" t="str">
        <f ca="1">IFERROR(__xludf.DUMMYFUNCTION("""COMPUTED_VALUE"""),"ICA")</f>
        <v>ICA</v>
      </c>
      <c r="G1042" s="25" t="str">
        <f ca="1">IFERROR(__xludf.DUMMYFUNCTION("""COMPUTED_VALUE"""),"SALAS")</f>
        <v>SALAS</v>
      </c>
      <c r="H1042" s="25" t="str">
        <f ca="1">IFERROR(__xludf.DUMMYFUNCTION("""COMPUTED_VALUE"""),"URBANO")</f>
        <v>URBANO</v>
      </c>
      <c r="I1042" s="25" t="str">
        <f ca="1">IFERROR(__xludf.DUMMYFUNCTION("""COMPUTED_VALUE"""),"Prioridad 2")</f>
        <v>Prioridad 2</v>
      </c>
      <c r="J1042" s="43" t="s">
        <v>263</v>
      </c>
    </row>
    <row r="1043" spans="2:10">
      <c r="B1043" s="25" t="str">
        <f ca="1">IFERROR(__xludf.DUMMYFUNCTION("""COMPUTED_VALUE"""),"MUNICIPALIDAD DISTRITAL")</f>
        <v>MUNICIPALIDAD DISTRITAL</v>
      </c>
      <c r="C1043" s="25" t="str">
        <f ca="1">IFERROR(__xludf.DUMMYFUNCTION("""COMPUTED_VALUE"""),"MUNICIPALIDAD DISTRITAL DE SAN JOSE DE LOS MOLINOS")</f>
        <v>MUNICIPALIDAD DISTRITAL DE SAN JOSE DE LOS MOLINOS</v>
      </c>
      <c r="D1043" s="25" t="str">
        <f ca="1">IFERROR(__xludf.DUMMYFUNCTION("""COMPUTED_VALUE"""),"ICA")</f>
        <v>ICA</v>
      </c>
      <c r="E1043" s="25" t="str">
        <f ca="1">IFERROR(__xludf.DUMMYFUNCTION("""COMPUTED_VALUE"""),"ICA")</f>
        <v>ICA</v>
      </c>
      <c r="F1043" s="25" t="str">
        <f ca="1">IFERROR(__xludf.DUMMYFUNCTION("""COMPUTED_VALUE"""),"ICA")</f>
        <v>ICA</v>
      </c>
      <c r="G1043" s="25" t="str">
        <f ca="1">IFERROR(__xludf.DUMMYFUNCTION("""COMPUTED_VALUE"""),"SAN JOSE DE LOS MOLINOS")</f>
        <v>SAN JOSE DE LOS MOLINOS</v>
      </c>
      <c r="H1043" s="25" t="str">
        <f ca="1">IFERROR(__xludf.DUMMYFUNCTION("""COMPUTED_VALUE"""),"URBANO")</f>
        <v>URBANO</v>
      </c>
      <c r="I1043" s="25" t="str">
        <f ca="1">IFERROR(__xludf.DUMMYFUNCTION("""COMPUTED_VALUE"""),"Prioridad 2")</f>
        <v>Prioridad 2</v>
      </c>
      <c r="J1043" s="43" t="s">
        <v>263</v>
      </c>
    </row>
    <row r="1044" spans="2:10">
      <c r="B1044" s="25" t="str">
        <f ca="1">IFERROR(__xludf.DUMMYFUNCTION("""COMPUTED_VALUE"""),"MUNICIPALIDAD DISTRITAL")</f>
        <v>MUNICIPALIDAD DISTRITAL</v>
      </c>
      <c r="C1044" s="25" t="str">
        <f ca="1">IFERROR(__xludf.DUMMYFUNCTION("""COMPUTED_VALUE"""),"MUNICIPALIDAD DISTRITAL DE SAN JUAN BAUTISTA EN ICA")</f>
        <v>MUNICIPALIDAD DISTRITAL DE SAN JUAN BAUTISTA EN ICA</v>
      </c>
      <c r="D1044" s="25" t="str">
        <f ca="1">IFERROR(__xludf.DUMMYFUNCTION("""COMPUTED_VALUE"""),"ICA")</f>
        <v>ICA</v>
      </c>
      <c r="E1044" s="25" t="str">
        <f ca="1">IFERROR(__xludf.DUMMYFUNCTION("""COMPUTED_VALUE"""),"ICA")</f>
        <v>ICA</v>
      </c>
      <c r="F1044" s="25" t="str">
        <f ca="1">IFERROR(__xludf.DUMMYFUNCTION("""COMPUTED_VALUE"""),"ICA")</f>
        <v>ICA</v>
      </c>
      <c r="G1044" s="25" t="str">
        <f ca="1">IFERROR(__xludf.DUMMYFUNCTION("""COMPUTED_VALUE"""),"SAN JUAN BAUTISTA")</f>
        <v>SAN JUAN BAUTISTA</v>
      </c>
      <c r="H1044" s="25" t="str">
        <f ca="1">IFERROR(__xludf.DUMMYFUNCTION("""COMPUTED_VALUE"""),"URBANO")</f>
        <v>URBANO</v>
      </c>
      <c r="I1044" s="25" t="str">
        <f ca="1">IFERROR(__xludf.DUMMYFUNCTION("""COMPUTED_VALUE"""),"Prioridad 1")</f>
        <v>Prioridad 1</v>
      </c>
      <c r="J1044" s="43" t="s">
        <v>263</v>
      </c>
    </row>
    <row r="1045" spans="2:10">
      <c r="B1045" s="25" t="str">
        <f ca="1">IFERROR(__xludf.DUMMYFUNCTION("""COMPUTED_VALUE"""),"MUNICIPALIDAD DISTRITAL")</f>
        <v>MUNICIPALIDAD DISTRITAL</v>
      </c>
      <c r="C1045" s="25" t="str">
        <f ca="1">IFERROR(__xludf.DUMMYFUNCTION("""COMPUTED_VALUE"""),"MUNICIPALIDAD DISTRITAL DE SANTIAGO EN ICA")</f>
        <v>MUNICIPALIDAD DISTRITAL DE SANTIAGO EN ICA</v>
      </c>
      <c r="D1045" s="25" t="str">
        <f ca="1">IFERROR(__xludf.DUMMYFUNCTION("""COMPUTED_VALUE"""),"ICA")</f>
        <v>ICA</v>
      </c>
      <c r="E1045" s="25" t="str">
        <f ca="1">IFERROR(__xludf.DUMMYFUNCTION("""COMPUTED_VALUE"""),"ICA")</f>
        <v>ICA</v>
      </c>
      <c r="F1045" s="25" t="str">
        <f ca="1">IFERROR(__xludf.DUMMYFUNCTION("""COMPUTED_VALUE"""),"ICA")</f>
        <v>ICA</v>
      </c>
      <c r="G1045" s="25" t="str">
        <f ca="1">IFERROR(__xludf.DUMMYFUNCTION("""COMPUTED_VALUE"""),"SANTIAGO")</f>
        <v>SANTIAGO</v>
      </c>
      <c r="H1045" s="25" t="str">
        <f ca="1">IFERROR(__xludf.DUMMYFUNCTION("""COMPUTED_VALUE"""),"URBANO")</f>
        <v>URBANO</v>
      </c>
      <c r="I1045" s="25" t="str">
        <f ca="1">IFERROR(__xludf.DUMMYFUNCTION("""COMPUTED_VALUE"""),"Prioridad 2")</f>
        <v>Prioridad 2</v>
      </c>
      <c r="J1045" s="43" t="s">
        <v>263</v>
      </c>
    </row>
    <row r="1046" spans="2:10">
      <c r="B1046" s="25" t="str">
        <f ca="1">IFERROR(__xludf.DUMMYFUNCTION("""COMPUTED_VALUE"""),"MUNICIPALIDAD DISTRITAL")</f>
        <v>MUNICIPALIDAD DISTRITAL</v>
      </c>
      <c r="C1046" s="25" t="str">
        <f ca="1">IFERROR(__xludf.DUMMYFUNCTION("""COMPUTED_VALUE"""),"MUNICIPALIDAD DISTRITAL DE SUBTANJALLA")</f>
        <v>MUNICIPALIDAD DISTRITAL DE SUBTANJALLA</v>
      </c>
      <c r="D1046" s="25" t="str">
        <f ca="1">IFERROR(__xludf.DUMMYFUNCTION("""COMPUTED_VALUE"""),"ICA")</f>
        <v>ICA</v>
      </c>
      <c r="E1046" s="25" t="str">
        <f ca="1">IFERROR(__xludf.DUMMYFUNCTION("""COMPUTED_VALUE"""),"ICA")</f>
        <v>ICA</v>
      </c>
      <c r="F1046" s="25" t="str">
        <f ca="1">IFERROR(__xludf.DUMMYFUNCTION("""COMPUTED_VALUE"""),"ICA")</f>
        <v>ICA</v>
      </c>
      <c r="G1046" s="25" t="str">
        <f ca="1">IFERROR(__xludf.DUMMYFUNCTION("""COMPUTED_VALUE"""),"SUBTANJALLA")</f>
        <v>SUBTANJALLA</v>
      </c>
      <c r="H1046" s="25" t="str">
        <f ca="1">IFERROR(__xludf.DUMMYFUNCTION("""COMPUTED_VALUE"""),"URBANO")</f>
        <v>URBANO</v>
      </c>
      <c r="I1046" s="25" t="str">
        <f ca="1">IFERROR(__xludf.DUMMYFUNCTION("""COMPUTED_VALUE"""),"Prioridad 2")</f>
        <v>Prioridad 2</v>
      </c>
      <c r="J1046" s="43" t="s">
        <v>263</v>
      </c>
    </row>
    <row r="1047" spans="2:10">
      <c r="B1047" s="25" t="str">
        <f ca="1">IFERROR(__xludf.DUMMYFUNCTION("""COMPUTED_VALUE"""),"MUNICIPALIDAD DISTRITAL")</f>
        <v>MUNICIPALIDAD DISTRITAL</v>
      </c>
      <c r="C1047" s="25" t="str">
        <f ca="1">IFERROR(__xludf.DUMMYFUNCTION("""COMPUTED_VALUE"""),"MUNICIPALIDAD DISTRITAL DE TATE")</f>
        <v>MUNICIPALIDAD DISTRITAL DE TATE</v>
      </c>
      <c r="D1047" s="25" t="str">
        <f ca="1">IFERROR(__xludf.DUMMYFUNCTION("""COMPUTED_VALUE"""),"ICA")</f>
        <v>ICA</v>
      </c>
      <c r="E1047" s="25" t="str">
        <f ca="1">IFERROR(__xludf.DUMMYFUNCTION("""COMPUTED_VALUE"""),"ICA")</f>
        <v>ICA</v>
      </c>
      <c r="F1047" s="25" t="str">
        <f ca="1">IFERROR(__xludf.DUMMYFUNCTION("""COMPUTED_VALUE"""),"ICA")</f>
        <v>ICA</v>
      </c>
      <c r="G1047" s="25" t="str">
        <f ca="1">IFERROR(__xludf.DUMMYFUNCTION("""COMPUTED_VALUE"""),"TATE")</f>
        <v>TATE</v>
      </c>
      <c r="H1047" s="25" t="str">
        <f ca="1">IFERROR(__xludf.DUMMYFUNCTION("""COMPUTED_VALUE"""),"URBANO")</f>
        <v>URBANO</v>
      </c>
      <c r="I1047" s="25" t="str">
        <f ca="1">IFERROR(__xludf.DUMMYFUNCTION("""COMPUTED_VALUE"""),"Prioridad 2")</f>
        <v>Prioridad 2</v>
      </c>
      <c r="J1047" s="43" t="s">
        <v>263</v>
      </c>
    </row>
    <row r="1048" spans="2:10">
      <c r="B1048" s="25" t="str">
        <f ca="1">IFERROR(__xludf.DUMMYFUNCTION("""COMPUTED_VALUE"""),"MUNICIPALIDAD DISTRITAL")</f>
        <v>MUNICIPALIDAD DISTRITAL</v>
      </c>
      <c r="C1048" s="25" t="str">
        <f ca="1">IFERROR(__xludf.DUMMYFUNCTION("""COMPUTED_VALUE"""),"MUNICIPALIDAD DISTRITAL DE YAUCA DEL ROSARIO")</f>
        <v>MUNICIPALIDAD DISTRITAL DE YAUCA DEL ROSARIO</v>
      </c>
      <c r="D1048" s="25" t="str">
        <f ca="1">IFERROR(__xludf.DUMMYFUNCTION("""COMPUTED_VALUE"""),"ICA")</f>
        <v>ICA</v>
      </c>
      <c r="E1048" s="25" t="str">
        <f ca="1">IFERROR(__xludf.DUMMYFUNCTION("""COMPUTED_VALUE"""),"ICA")</f>
        <v>ICA</v>
      </c>
      <c r="F1048" s="25" t="str">
        <f ca="1">IFERROR(__xludf.DUMMYFUNCTION("""COMPUTED_VALUE"""),"ICA")</f>
        <v>ICA</v>
      </c>
      <c r="G1048" s="25" t="str">
        <f ca="1">IFERROR(__xludf.DUMMYFUNCTION("""COMPUTED_VALUE"""),"YAUCA DEL ROSARIO")</f>
        <v>YAUCA DEL ROSARIO</v>
      </c>
      <c r="H1048" s="25" t="str">
        <f ca="1">IFERROR(__xludf.DUMMYFUNCTION("""COMPUTED_VALUE"""),"RURAL")</f>
        <v>RURAL</v>
      </c>
      <c r="I1048" s="25" t="str">
        <f ca="1">IFERROR(__xludf.DUMMYFUNCTION("""COMPUTED_VALUE"""),"Prioridad 2")</f>
        <v>Prioridad 2</v>
      </c>
      <c r="J1048" s="43" t="s">
        <v>264</v>
      </c>
    </row>
    <row r="1049" spans="2:10">
      <c r="B1049" s="25" t="str">
        <f ca="1">IFERROR(__xludf.DUMMYFUNCTION("""COMPUTED_VALUE"""),"GOBIERNO REGIONAL")</f>
        <v>GOBIERNO REGIONAL</v>
      </c>
      <c r="C1049" s="25" t="str">
        <f ca="1">IFERROR(__xludf.DUMMYFUNCTION("""COMPUTED_VALUE"""),"GOBIERNO REGIONAL DE ICA")</f>
        <v>GOBIERNO REGIONAL DE ICA</v>
      </c>
      <c r="D1049" s="25" t="str">
        <f ca="1">IFERROR(__xludf.DUMMYFUNCTION("""COMPUTED_VALUE"""),"ICA")</f>
        <v>ICA</v>
      </c>
      <c r="E1049" s="25" t="str">
        <f ca="1">IFERROR(__xludf.DUMMYFUNCTION("""COMPUTED_VALUE"""),"ICA")</f>
        <v>ICA</v>
      </c>
      <c r="F1049" s="25" t="str">
        <f ca="1">IFERROR(__xludf.DUMMYFUNCTION("""COMPUTED_VALUE"""),"ICA")</f>
        <v>ICA</v>
      </c>
      <c r="G1049" s="25" t="str">
        <f ca="1">IFERROR(__xludf.DUMMYFUNCTION("""COMPUTED_VALUE"""),"ICA")</f>
        <v>ICA</v>
      </c>
      <c r="H1049" s="25" t="str">
        <f ca="1">IFERROR(__xludf.DUMMYFUNCTION("""COMPUTED_VALUE"""),"URBANO")</f>
        <v>URBANO</v>
      </c>
      <c r="I1049" s="25" t="str">
        <f ca="1">IFERROR(__xludf.DUMMYFUNCTION("""COMPUTED_VALUE"""),"Prioridad 1")</f>
        <v>Prioridad 1</v>
      </c>
      <c r="J1049" s="43" t="s">
        <v>264</v>
      </c>
    </row>
    <row r="1050" spans="2:10">
      <c r="B1050" s="25" t="str">
        <f ca="1">IFERROR(__xludf.DUMMYFUNCTION("""COMPUTED_VALUE"""),"MUNICIPALIDAD PROVINCIAL")</f>
        <v>MUNICIPALIDAD PROVINCIAL</v>
      </c>
      <c r="C1050" s="25" t="str">
        <f ca="1">IFERROR(__xludf.DUMMYFUNCTION("""COMPUTED_VALUE"""),"MUNICIPALIDAD PROVINCIAL DE NASCA")</f>
        <v>MUNICIPALIDAD PROVINCIAL DE NASCA</v>
      </c>
      <c r="D1050" s="25" t="str">
        <f ca="1">IFERROR(__xludf.DUMMYFUNCTION("""COMPUTED_VALUE"""),"ICA")</f>
        <v>ICA</v>
      </c>
      <c r="E1050" s="25" t="str">
        <f ca="1">IFERROR(__xludf.DUMMYFUNCTION("""COMPUTED_VALUE"""),"ICA")</f>
        <v>ICA</v>
      </c>
      <c r="F1050" s="25" t="str">
        <f ca="1">IFERROR(__xludf.DUMMYFUNCTION("""COMPUTED_VALUE"""),"NASCA")</f>
        <v>NASCA</v>
      </c>
      <c r="G1050" s="25" t="str">
        <f ca="1">IFERROR(__xludf.DUMMYFUNCTION("""COMPUTED_VALUE"""),"NASCA")</f>
        <v>NASCA</v>
      </c>
      <c r="H1050" s="25" t="str">
        <f ca="1">IFERROR(__xludf.DUMMYFUNCTION("""COMPUTED_VALUE"""),"URBANO")</f>
        <v>URBANO</v>
      </c>
      <c r="I1050" s="25" t="str">
        <f ca="1">IFERROR(__xludf.DUMMYFUNCTION("""COMPUTED_VALUE"""),"Prioridad 1")</f>
        <v>Prioridad 1</v>
      </c>
      <c r="J1050" s="43" t="s">
        <v>264</v>
      </c>
    </row>
    <row r="1051" spans="2:10">
      <c r="B1051" s="25" t="str">
        <f ca="1">IFERROR(__xludf.DUMMYFUNCTION("""COMPUTED_VALUE"""),"MUNICIPALIDAD DISTRITAL")</f>
        <v>MUNICIPALIDAD DISTRITAL</v>
      </c>
      <c r="C1051" s="25" t="str">
        <f ca="1">IFERROR(__xludf.DUMMYFUNCTION("""COMPUTED_VALUE"""),"MUNICIPALIDAD DISTRITAL DE CHANGUILLO")</f>
        <v>MUNICIPALIDAD DISTRITAL DE CHANGUILLO</v>
      </c>
      <c r="D1051" s="25" t="str">
        <f ca="1">IFERROR(__xludf.DUMMYFUNCTION("""COMPUTED_VALUE"""),"ICA")</f>
        <v>ICA</v>
      </c>
      <c r="E1051" s="25" t="str">
        <f ca="1">IFERROR(__xludf.DUMMYFUNCTION("""COMPUTED_VALUE"""),"ICA")</f>
        <v>ICA</v>
      </c>
      <c r="F1051" s="25" t="str">
        <f ca="1">IFERROR(__xludf.DUMMYFUNCTION("""COMPUTED_VALUE"""),"NASCA")</f>
        <v>NASCA</v>
      </c>
      <c r="G1051" s="25" t="str">
        <f ca="1">IFERROR(__xludf.DUMMYFUNCTION("""COMPUTED_VALUE"""),"CHANGUILLO")</f>
        <v>CHANGUILLO</v>
      </c>
      <c r="H1051" s="25" t="str">
        <f ca="1">IFERROR(__xludf.DUMMYFUNCTION("""COMPUTED_VALUE"""),"RURAL")</f>
        <v>RURAL</v>
      </c>
      <c r="I1051" s="25" t="str">
        <f ca="1">IFERROR(__xludf.DUMMYFUNCTION("""COMPUTED_VALUE"""),"Prioridad 3")</f>
        <v>Prioridad 3</v>
      </c>
      <c r="J1051" s="43" t="s">
        <v>264</v>
      </c>
    </row>
    <row r="1052" spans="2:10">
      <c r="B1052" s="25" t="str">
        <f ca="1">IFERROR(__xludf.DUMMYFUNCTION("""COMPUTED_VALUE"""),"MUNICIPALIDAD DISTRITAL")</f>
        <v>MUNICIPALIDAD DISTRITAL</v>
      </c>
      <c r="C1052" s="25" t="str">
        <f ca="1">IFERROR(__xludf.DUMMYFUNCTION("""COMPUTED_VALUE"""),"MUNICIPALIDAD DISTRITAL DE EL INGENIO")</f>
        <v>MUNICIPALIDAD DISTRITAL DE EL INGENIO</v>
      </c>
      <c r="D1052" s="25" t="str">
        <f ca="1">IFERROR(__xludf.DUMMYFUNCTION("""COMPUTED_VALUE"""),"ICA")</f>
        <v>ICA</v>
      </c>
      <c r="E1052" s="25" t="str">
        <f ca="1">IFERROR(__xludf.DUMMYFUNCTION("""COMPUTED_VALUE"""),"ICA")</f>
        <v>ICA</v>
      </c>
      <c r="F1052" s="25" t="str">
        <f ca="1">IFERROR(__xludf.DUMMYFUNCTION("""COMPUTED_VALUE"""),"NASCA")</f>
        <v>NASCA</v>
      </c>
      <c r="G1052" s="25" t="str">
        <f ca="1">IFERROR(__xludf.DUMMYFUNCTION("""COMPUTED_VALUE"""),"EL INGENIO")</f>
        <v>EL INGENIO</v>
      </c>
      <c r="H1052" s="25" t="str">
        <f ca="1">IFERROR(__xludf.DUMMYFUNCTION("""COMPUTED_VALUE"""),"RURAL")</f>
        <v>RURAL</v>
      </c>
      <c r="I1052" s="25" t="str">
        <f ca="1">IFERROR(__xludf.DUMMYFUNCTION("""COMPUTED_VALUE"""),"Prioridad 2")</f>
        <v>Prioridad 2</v>
      </c>
      <c r="J1052" s="43" t="s">
        <v>264</v>
      </c>
    </row>
    <row r="1053" spans="2:10">
      <c r="B1053" s="25" t="str">
        <f ca="1">IFERROR(__xludf.DUMMYFUNCTION("""COMPUTED_VALUE"""),"MUNICIPALIDAD DISTRITAL")</f>
        <v>MUNICIPALIDAD DISTRITAL</v>
      </c>
      <c r="C1053" s="25" t="str">
        <f ca="1">IFERROR(__xludf.DUMMYFUNCTION("""COMPUTED_VALUE"""),"MUNICIPALIDAD DISTRITAL DE MARCONA")</f>
        <v>MUNICIPALIDAD DISTRITAL DE MARCONA</v>
      </c>
      <c r="D1053" s="25" t="str">
        <f ca="1">IFERROR(__xludf.DUMMYFUNCTION("""COMPUTED_VALUE"""),"ICA")</f>
        <v>ICA</v>
      </c>
      <c r="E1053" s="25" t="str">
        <f ca="1">IFERROR(__xludf.DUMMYFUNCTION("""COMPUTED_VALUE"""),"ICA")</f>
        <v>ICA</v>
      </c>
      <c r="F1053" s="25" t="str">
        <f ca="1">IFERROR(__xludf.DUMMYFUNCTION("""COMPUTED_VALUE"""),"NASCA")</f>
        <v>NASCA</v>
      </c>
      <c r="G1053" s="25" t="str">
        <f ca="1">IFERROR(__xludf.DUMMYFUNCTION("""COMPUTED_VALUE"""),"MARCONA")</f>
        <v>MARCONA</v>
      </c>
      <c r="H1053" s="25" t="str">
        <f ca="1">IFERROR(__xludf.DUMMYFUNCTION("""COMPUTED_VALUE"""),"URBANO")</f>
        <v>URBANO</v>
      </c>
      <c r="I1053" s="25" t="str">
        <f ca="1">IFERROR(__xludf.DUMMYFUNCTION("""COMPUTED_VALUE"""),"Prioridad 1")</f>
        <v>Prioridad 1</v>
      </c>
      <c r="J1053" s="43" t="s">
        <v>264</v>
      </c>
    </row>
    <row r="1054" spans="2:10">
      <c r="B1054" s="25" t="str">
        <f ca="1">IFERROR(__xludf.DUMMYFUNCTION("""COMPUTED_VALUE"""),"MUNICIPALIDAD DISTRITAL")</f>
        <v>MUNICIPALIDAD DISTRITAL</v>
      </c>
      <c r="C1054" s="25" t="str">
        <f ca="1">IFERROR(__xludf.DUMMYFUNCTION("""COMPUTED_VALUE"""),"MUNICIPALIDAD DISTRITAL DE VISTA ALEGRE EN NASCA")</f>
        <v>MUNICIPALIDAD DISTRITAL DE VISTA ALEGRE EN NASCA</v>
      </c>
      <c r="D1054" s="25" t="str">
        <f ca="1">IFERROR(__xludf.DUMMYFUNCTION("""COMPUTED_VALUE"""),"ICA")</f>
        <v>ICA</v>
      </c>
      <c r="E1054" s="25" t="str">
        <f ca="1">IFERROR(__xludf.DUMMYFUNCTION("""COMPUTED_VALUE"""),"ICA")</f>
        <v>ICA</v>
      </c>
      <c r="F1054" s="25" t="str">
        <f ca="1">IFERROR(__xludf.DUMMYFUNCTION("""COMPUTED_VALUE"""),"NASCA")</f>
        <v>NASCA</v>
      </c>
      <c r="G1054" s="25" t="str">
        <f ca="1">IFERROR(__xludf.DUMMYFUNCTION("""COMPUTED_VALUE"""),"VISTA ALEGRE")</f>
        <v>VISTA ALEGRE</v>
      </c>
      <c r="H1054" s="25" t="str">
        <f ca="1">IFERROR(__xludf.DUMMYFUNCTION("""COMPUTED_VALUE"""),"URBANO")</f>
        <v>URBANO</v>
      </c>
      <c r="I1054" s="25" t="str">
        <f ca="1">IFERROR(__xludf.DUMMYFUNCTION("""COMPUTED_VALUE"""),"Prioridad 1")</f>
        <v>Prioridad 1</v>
      </c>
      <c r="J1054" s="43" t="s">
        <v>264</v>
      </c>
    </row>
    <row r="1055" spans="2:10">
      <c r="B1055" s="25" t="str">
        <f ca="1">IFERROR(__xludf.DUMMYFUNCTION("""COMPUTED_VALUE"""),"MUNICIPALIDAD PROVINCIAL")</f>
        <v>MUNICIPALIDAD PROVINCIAL</v>
      </c>
      <c r="C1055" s="25" t="str">
        <f ca="1">IFERROR(__xludf.DUMMYFUNCTION("""COMPUTED_VALUE"""),"MUNICIPALIDAD PROVINCIAL DE PALPA")</f>
        <v>MUNICIPALIDAD PROVINCIAL DE PALPA</v>
      </c>
      <c r="D1055" s="25" t="str">
        <f ca="1">IFERROR(__xludf.DUMMYFUNCTION("""COMPUTED_VALUE"""),"ICA")</f>
        <v>ICA</v>
      </c>
      <c r="E1055" s="25" t="str">
        <f ca="1">IFERROR(__xludf.DUMMYFUNCTION("""COMPUTED_VALUE"""),"ICA")</f>
        <v>ICA</v>
      </c>
      <c r="F1055" s="25" t="str">
        <f ca="1">IFERROR(__xludf.DUMMYFUNCTION("""COMPUTED_VALUE"""),"PALPA")</f>
        <v>PALPA</v>
      </c>
      <c r="G1055" s="25" t="str">
        <f ca="1">IFERROR(__xludf.DUMMYFUNCTION("""COMPUTED_VALUE"""),"PALPA")</f>
        <v>PALPA</v>
      </c>
      <c r="H1055" s="25" t="str">
        <f ca="1">IFERROR(__xludf.DUMMYFUNCTION("""COMPUTED_VALUE"""),"URBANO")</f>
        <v>URBANO</v>
      </c>
      <c r="I1055" s="25" t="str">
        <f ca="1">IFERROR(__xludf.DUMMYFUNCTION("""COMPUTED_VALUE"""),"Prioridad 1")</f>
        <v>Prioridad 1</v>
      </c>
      <c r="J1055" s="43" t="s">
        <v>264</v>
      </c>
    </row>
    <row r="1056" spans="2:10">
      <c r="B1056" s="25" t="str">
        <f ca="1">IFERROR(__xludf.DUMMYFUNCTION("""COMPUTED_VALUE"""),"MUNICIPALIDAD DISTRITAL")</f>
        <v>MUNICIPALIDAD DISTRITAL</v>
      </c>
      <c r="C1056" s="25" t="str">
        <f ca="1">IFERROR(__xludf.DUMMYFUNCTION("""COMPUTED_VALUE"""),"MUNICIPALIDAD DISTRITAL DE LLIPATA")</f>
        <v>MUNICIPALIDAD DISTRITAL DE LLIPATA</v>
      </c>
      <c r="D1056" s="25" t="str">
        <f ca="1">IFERROR(__xludf.DUMMYFUNCTION("""COMPUTED_VALUE"""),"ICA")</f>
        <v>ICA</v>
      </c>
      <c r="E1056" s="25" t="str">
        <f ca="1">IFERROR(__xludf.DUMMYFUNCTION("""COMPUTED_VALUE"""),"ICA")</f>
        <v>ICA</v>
      </c>
      <c r="F1056" s="25" t="str">
        <f ca="1">IFERROR(__xludf.DUMMYFUNCTION("""COMPUTED_VALUE"""),"PALPA")</f>
        <v>PALPA</v>
      </c>
      <c r="G1056" s="25" t="str">
        <f ca="1">IFERROR(__xludf.DUMMYFUNCTION("""COMPUTED_VALUE"""),"LLIPATA")</f>
        <v>LLIPATA</v>
      </c>
      <c r="H1056" s="25" t="str">
        <f ca="1">IFERROR(__xludf.DUMMYFUNCTION("""COMPUTED_VALUE"""),"RURAL")</f>
        <v>RURAL</v>
      </c>
      <c r="I1056" s="25" t="str">
        <f ca="1">IFERROR(__xludf.DUMMYFUNCTION("""COMPUTED_VALUE"""),"Prioridad 2")</f>
        <v>Prioridad 2</v>
      </c>
      <c r="J1056" s="43" t="s">
        <v>264</v>
      </c>
    </row>
    <row r="1057" spans="2:10">
      <c r="B1057" s="25" t="str">
        <f ca="1">IFERROR(__xludf.DUMMYFUNCTION("""COMPUTED_VALUE"""),"MUNICIPALIDAD DISTRITAL")</f>
        <v>MUNICIPALIDAD DISTRITAL</v>
      </c>
      <c r="C1057" s="25" t="str">
        <f ca="1">IFERROR(__xludf.DUMMYFUNCTION("""COMPUTED_VALUE"""),"MUNICIPALIDAD DISTRITAL DE RIO GRANDE EN PALPA")</f>
        <v>MUNICIPALIDAD DISTRITAL DE RIO GRANDE EN PALPA</v>
      </c>
      <c r="D1057" s="25" t="str">
        <f ca="1">IFERROR(__xludf.DUMMYFUNCTION("""COMPUTED_VALUE"""),"ICA")</f>
        <v>ICA</v>
      </c>
      <c r="E1057" s="25" t="str">
        <f ca="1">IFERROR(__xludf.DUMMYFUNCTION("""COMPUTED_VALUE"""),"ICA")</f>
        <v>ICA</v>
      </c>
      <c r="F1057" s="25" t="str">
        <f ca="1">IFERROR(__xludf.DUMMYFUNCTION("""COMPUTED_VALUE"""),"PALPA")</f>
        <v>PALPA</v>
      </c>
      <c r="G1057" s="25" t="str">
        <f ca="1">IFERROR(__xludf.DUMMYFUNCTION("""COMPUTED_VALUE"""),"RIO GRANDE")</f>
        <v>RIO GRANDE</v>
      </c>
      <c r="H1057" s="25" t="str">
        <f ca="1">IFERROR(__xludf.DUMMYFUNCTION("""COMPUTED_VALUE"""),"RURAL")</f>
        <v>RURAL</v>
      </c>
      <c r="I1057" s="25" t="str">
        <f ca="1">IFERROR(__xludf.DUMMYFUNCTION("""COMPUTED_VALUE"""),"Prioridad 3")</f>
        <v>Prioridad 3</v>
      </c>
      <c r="J1057" s="43" t="s">
        <v>264</v>
      </c>
    </row>
    <row r="1058" spans="2:10">
      <c r="B1058" s="25" t="str">
        <f ca="1">IFERROR(__xludf.DUMMYFUNCTION("""COMPUTED_VALUE"""),"MUNICIPALIDAD DISTRITAL")</f>
        <v>MUNICIPALIDAD DISTRITAL</v>
      </c>
      <c r="C1058" s="25" t="str">
        <f ca="1">IFERROR(__xludf.DUMMYFUNCTION("""COMPUTED_VALUE"""),"MUNICIPALIDAD DISTRITAL DE SANTA CRUZ EN PALPA")</f>
        <v>MUNICIPALIDAD DISTRITAL DE SANTA CRUZ EN PALPA</v>
      </c>
      <c r="D1058" s="25" t="str">
        <f ca="1">IFERROR(__xludf.DUMMYFUNCTION("""COMPUTED_VALUE"""),"ICA")</f>
        <v>ICA</v>
      </c>
      <c r="E1058" s="25" t="str">
        <f ca="1">IFERROR(__xludf.DUMMYFUNCTION("""COMPUTED_VALUE"""),"ICA")</f>
        <v>ICA</v>
      </c>
      <c r="F1058" s="25" t="str">
        <f ca="1">IFERROR(__xludf.DUMMYFUNCTION("""COMPUTED_VALUE"""),"PALPA")</f>
        <v>PALPA</v>
      </c>
      <c r="G1058" s="25" t="str">
        <f ca="1">IFERROR(__xludf.DUMMYFUNCTION("""COMPUTED_VALUE"""),"SANTA CRUZ")</f>
        <v>SANTA CRUZ</v>
      </c>
      <c r="H1058" s="25" t="str">
        <f ca="1">IFERROR(__xludf.DUMMYFUNCTION("""COMPUTED_VALUE"""),"RURAL")</f>
        <v>RURAL</v>
      </c>
      <c r="I1058" s="25" t="str">
        <f ca="1">IFERROR(__xludf.DUMMYFUNCTION("""COMPUTED_VALUE"""),"Prioridad 3")</f>
        <v>Prioridad 3</v>
      </c>
      <c r="J1058" s="43" t="s">
        <v>264</v>
      </c>
    </row>
    <row r="1059" spans="2:10">
      <c r="B1059" s="25" t="str">
        <f ca="1">IFERROR(__xludf.DUMMYFUNCTION("""COMPUTED_VALUE"""),"MUNICIPALIDAD DISTRITAL")</f>
        <v>MUNICIPALIDAD DISTRITAL</v>
      </c>
      <c r="C1059" s="25" t="str">
        <f ca="1">IFERROR(__xludf.DUMMYFUNCTION("""COMPUTED_VALUE"""),"MUNICIPALIDAD DISTRITAL DE TIBILLO")</f>
        <v>MUNICIPALIDAD DISTRITAL DE TIBILLO</v>
      </c>
      <c r="D1059" s="25" t="str">
        <f ca="1">IFERROR(__xludf.DUMMYFUNCTION("""COMPUTED_VALUE"""),"ICA")</f>
        <v>ICA</v>
      </c>
      <c r="E1059" s="25" t="str">
        <f ca="1">IFERROR(__xludf.DUMMYFUNCTION("""COMPUTED_VALUE"""),"ICA")</f>
        <v>ICA</v>
      </c>
      <c r="F1059" s="25" t="str">
        <f ca="1">IFERROR(__xludf.DUMMYFUNCTION("""COMPUTED_VALUE"""),"PALPA")</f>
        <v>PALPA</v>
      </c>
      <c r="G1059" s="25" t="str">
        <f ca="1">IFERROR(__xludf.DUMMYFUNCTION("""COMPUTED_VALUE"""),"TIBILLO")</f>
        <v>TIBILLO</v>
      </c>
      <c r="H1059" s="25" t="str">
        <f ca="1">IFERROR(__xludf.DUMMYFUNCTION("""COMPUTED_VALUE"""),"RURAL")</f>
        <v>RURAL</v>
      </c>
      <c r="I1059" s="25" t="str">
        <f ca="1">IFERROR(__xludf.DUMMYFUNCTION("""COMPUTED_VALUE"""),"Prioridad 4")</f>
        <v>Prioridad 4</v>
      </c>
      <c r="J1059" s="43" t="s">
        <v>264</v>
      </c>
    </row>
    <row r="1060" spans="2:10">
      <c r="B1060" s="25" t="str">
        <f ca="1">IFERROR(__xludf.DUMMYFUNCTION("""COMPUTED_VALUE"""),"MUNICIPALIDAD PROVINCIAL")</f>
        <v>MUNICIPALIDAD PROVINCIAL</v>
      </c>
      <c r="C1060" s="25" t="str">
        <f ca="1">IFERROR(__xludf.DUMMYFUNCTION("""COMPUTED_VALUE"""),"MUNICIPALIDAD PROVINCIAL DE PISCO")</f>
        <v>MUNICIPALIDAD PROVINCIAL DE PISCO</v>
      </c>
      <c r="D1060" s="25" t="str">
        <f ca="1">IFERROR(__xludf.DUMMYFUNCTION("""COMPUTED_VALUE"""),"ICA")</f>
        <v>ICA</v>
      </c>
      <c r="E1060" s="25" t="str">
        <f ca="1">IFERROR(__xludf.DUMMYFUNCTION("""COMPUTED_VALUE"""),"ICA")</f>
        <v>ICA</v>
      </c>
      <c r="F1060" s="25" t="str">
        <f ca="1">IFERROR(__xludf.DUMMYFUNCTION("""COMPUTED_VALUE"""),"PISCO")</f>
        <v>PISCO</v>
      </c>
      <c r="G1060" s="25" t="str">
        <f ca="1">IFERROR(__xludf.DUMMYFUNCTION("""COMPUTED_VALUE"""),"PISCO")</f>
        <v>PISCO</v>
      </c>
      <c r="H1060" s="25" t="str">
        <f ca="1">IFERROR(__xludf.DUMMYFUNCTION("""COMPUTED_VALUE"""),"URBANO")</f>
        <v>URBANO</v>
      </c>
      <c r="I1060" s="25" t="str">
        <f ca="1">IFERROR(__xludf.DUMMYFUNCTION("""COMPUTED_VALUE"""),"Prioridad 1")</f>
        <v>Prioridad 1</v>
      </c>
      <c r="J1060" s="43" t="s">
        <v>264</v>
      </c>
    </row>
    <row r="1061" spans="2:10">
      <c r="B1061" s="25" t="str">
        <f ca="1">IFERROR(__xludf.DUMMYFUNCTION("""COMPUTED_VALUE"""),"MUNICIPALIDAD DISTRITAL")</f>
        <v>MUNICIPALIDAD DISTRITAL</v>
      </c>
      <c r="C1061" s="25" t="str">
        <f ca="1">IFERROR(__xludf.DUMMYFUNCTION("""COMPUTED_VALUE"""),"MUNICIPALIDAD DISTRITAL DE HUANCANO")</f>
        <v>MUNICIPALIDAD DISTRITAL DE HUANCANO</v>
      </c>
      <c r="D1061" s="25" t="str">
        <f ca="1">IFERROR(__xludf.DUMMYFUNCTION("""COMPUTED_VALUE"""),"ICA")</f>
        <v>ICA</v>
      </c>
      <c r="E1061" s="25" t="str">
        <f ca="1">IFERROR(__xludf.DUMMYFUNCTION("""COMPUTED_VALUE"""),"ICA")</f>
        <v>ICA</v>
      </c>
      <c r="F1061" s="25" t="str">
        <f ca="1">IFERROR(__xludf.DUMMYFUNCTION("""COMPUTED_VALUE"""),"PISCO")</f>
        <v>PISCO</v>
      </c>
      <c r="G1061" s="25" t="str">
        <f ca="1">IFERROR(__xludf.DUMMYFUNCTION("""COMPUTED_VALUE"""),"HUANCANO")</f>
        <v>HUANCANO</v>
      </c>
      <c r="H1061" s="25" t="str">
        <f ca="1">IFERROR(__xludf.DUMMYFUNCTION("""COMPUTED_VALUE"""),"RURAL")</f>
        <v>RURAL</v>
      </c>
      <c r="I1061" s="25" t="str">
        <f ca="1">IFERROR(__xludf.DUMMYFUNCTION("""COMPUTED_VALUE"""),"Prioridad 3")</f>
        <v>Prioridad 3</v>
      </c>
      <c r="J1061" s="43" t="s">
        <v>264</v>
      </c>
    </row>
    <row r="1062" spans="2:10">
      <c r="B1062" s="25" t="str">
        <f ca="1">IFERROR(__xludf.DUMMYFUNCTION("""COMPUTED_VALUE"""),"MUNICIPALIDAD DISTRITAL")</f>
        <v>MUNICIPALIDAD DISTRITAL</v>
      </c>
      <c r="C1062" s="25" t="str">
        <f ca="1">IFERROR(__xludf.DUMMYFUNCTION("""COMPUTED_VALUE"""),"MUNICIPALIDAD DISTRITAL DE HUMAY")</f>
        <v>MUNICIPALIDAD DISTRITAL DE HUMAY</v>
      </c>
      <c r="D1062" s="25" t="str">
        <f ca="1">IFERROR(__xludf.DUMMYFUNCTION("""COMPUTED_VALUE"""),"ICA")</f>
        <v>ICA</v>
      </c>
      <c r="E1062" s="25" t="str">
        <f ca="1">IFERROR(__xludf.DUMMYFUNCTION("""COMPUTED_VALUE"""),"ICA")</f>
        <v>ICA</v>
      </c>
      <c r="F1062" s="25" t="str">
        <f ca="1">IFERROR(__xludf.DUMMYFUNCTION("""COMPUTED_VALUE"""),"PISCO")</f>
        <v>PISCO</v>
      </c>
      <c r="G1062" s="25" t="str">
        <f ca="1">IFERROR(__xludf.DUMMYFUNCTION("""COMPUTED_VALUE"""),"HUMAY")</f>
        <v>HUMAY</v>
      </c>
      <c r="H1062" s="25" t="str">
        <f ca="1">IFERROR(__xludf.DUMMYFUNCTION("""COMPUTED_VALUE"""),"URBANO")</f>
        <v>URBANO</v>
      </c>
      <c r="I1062" s="25" t="str">
        <f ca="1">IFERROR(__xludf.DUMMYFUNCTION("""COMPUTED_VALUE"""),"Prioridad 3")</f>
        <v>Prioridad 3</v>
      </c>
      <c r="J1062" s="43" t="s">
        <v>264</v>
      </c>
    </row>
    <row r="1063" spans="2:10">
      <c r="B1063" s="25" t="str">
        <f ca="1">IFERROR(__xludf.DUMMYFUNCTION("""COMPUTED_VALUE"""),"MUNICIPALIDAD DISTRITAL")</f>
        <v>MUNICIPALIDAD DISTRITAL</v>
      </c>
      <c r="C1063" s="25" t="str">
        <f ca="1">IFERROR(__xludf.DUMMYFUNCTION("""COMPUTED_VALUE"""),"MUNICIPALIDAD DISTRITAL DE INDEPENDENCIA EN PISCO")</f>
        <v>MUNICIPALIDAD DISTRITAL DE INDEPENDENCIA EN PISCO</v>
      </c>
      <c r="D1063" s="25" t="str">
        <f ca="1">IFERROR(__xludf.DUMMYFUNCTION("""COMPUTED_VALUE"""),"ICA")</f>
        <v>ICA</v>
      </c>
      <c r="E1063" s="25" t="str">
        <f ca="1">IFERROR(__xludf.DUMMYFUNCTION("""COMPUTED_VALUE"""),"ICA")</f>
        <v>ICA</v>
      </c>
      <c r="F1063" s="25" t="str">
        <f ca="1">IFERROR(__xludf.DUMMYFUNCTION("""COMPUTED_VALUE"""),"PISCO")</f>
        <v>PISCO</v>
      </c>
      <c r="G1063" s="25" t="str">
        <f ca="1">IFERROR(__xludf.DUMMYFUNCTION("""COMPUTED_VALUE"""),"INDEPENDENCIA")</f>
        <v>INDEPENDENCIA</v>
      </c>
      <c r="H1063" s="25" t="str">
        <f ca="1">IFERROR(__xludf.DUMMYFUNCTION("""COMPUTED_VALUE"""),"RURAL")</f>
        <v>RURAL</v>
      </c>
      <c r="I1063" s="25" t="str">
        <f ca="1">IFERROR(__xludf.DUMMYFUNCTION("""COMPUTED_VALUE"""),"Prioridad 2")</f>
        <v>Prioridad 2</v>
      </c>
      <c r="J1063" s="43" t="s">
        <v>264</v>
      </c>
    </row>
    <row r="1064" spans="2:10">
      <c r="B1064" s="25" t="str">
        <f ca="1">IFERROR(__xludf.DUMMYFUNCTION("""COMPUTED_VALUE"""),"MUNICIPALIDAD DISTRITAL")</f>
        <v>MUNICIPALIDAD DISTRITAL</v>
      </c>
      <c r="C1064" s="25" t="str">
        <f ca="1">IFERROR(__xludf.DUMMYFUNCTION("""COMPUTED_VALUE"""),"MUNICIPALIDAD DISTRITAL DE PARACAS")</f>
        <v>MUNICIPALIDAD DISTRITAL DE PARACAS</v>
      </c>
      <c r="D1064" s="25" t="str">
        <f ca="1">IFERROR(__xludf.DUMMYFUNCTION("""COMPUTED_VALUE"""),"ICA")</f>
        <v>ICA</v>
      </c>
      <c r="E1064" s="25" t="str">
        <f ca="1">IFERROR(__xludf.DUMMYFUNCTION("""COMPUTED_VALUE"""),"ICA")</f>
        <v>ICA</v>
      </c>
      <c r="F1064" s="25" t="str">
        <f ca="1">IFERROR(__xludf.DUMMYFUNCTION("""COMPUTED_VALUE"""),"PISCO")</f>
        <v>PISCO</v>
      </c>
      <c r="G1064" s="25" t="str">
        <f ca="1">IFERROR(__xludf.DUMMYFUNCTION("""COMPUTED_VALUE"""),"PARACAS")</f>
        <v>PARACAS</v>
      </c>
      <c r="H1064" s="25" t="str">
        <f ca="1">IFERROR(__xludf.DUMMYFUNCTION("""COMPUTED_VALUE"""),"URBANO")</f>
        <v>URBANO</v>
      </c>
      <c r="I1064" s="25" t="str">
        <f ca="1">IFERROR(__xludf.DUMMYFUNCTION("""COMPUTED_VALUE"""),"Prioridad 1")</f>
        <v>Prioridad 1</v>
      </c>
      <c r="J1064" s="43" t="s">
        <v>264</v>
      </c>
    </row>
    <row r="1065" spans="2:10">
      <c r="B1065" s="25" t="str">
        <f ca="1">IFERROR(__xludf.DUMMYFUNCTION("""COMPUTED_VALUE"""),"MUNICIPALIDAD DISTRITAL")</f>
        <v>MUNICIPALIDAD DISTRITAL</v>
      </c>
      <c r="C1065" s="25" t="str">
        <f ca="1">IFERROR(__xludf.DUMMYFUNCTION("""COMPUTED_VALUE"""),"MUNICIPALIDAD DISTRITAL DE SAN ANDRES")</f>
        <v>MUNICIPALIDAD DISTRITAL DE SAN ANDRES</v>
      </c>
      <c r="D1065" s="25" t="str">
        <f ca="1">IFERROR(__xludf.DUMMYFUNCTION("""COMPUTED_VALUE"""),"ICA")</f>
        <v>ICA</v>
      </c>
      <c r="E1065" s="25" t="str">
        <f ca="1">IFERROR(__xludf.DUMMYFUNCTION("""COMPUTED_VALUE"""),"ICA")</f>
        <v>ICA</v>
      </c>
      <c r="F1065" s="25" t="str">
        <f ca="1">IFERROR(__xludf.DUMMYFUNCTION("""COMPUTED_VALUE"""),"PISCO")</f>
        <v>PISCO</v>
      </c>
      <c r="G1065" s="25" t="str">
        <f ca="1">IFERROR(__xludf.DUMMYFUNCTION("""COMPUTED_VALUE"""),"SAN ANDRES")</f>
        <v>SAN ANDRES</v>
      </c>
      <c r="H1065" s="25" t="str">
        <f ca="1">IFERROR(__xludf.DUMMYFUNCTION("""COMPUTED_VALUE"""),"URBANO")</f>
        <v>URBANO</v>
      </c>
      <c r="I1065" s="25" t="str">
        <f ca="1">IFERROR(__xludf.DUMMYFUNCTION("""COMPUTED_VALUE"""),"Prioridad 1")</f>
        <v>Prioridad 1</v>
      </c>
      <c r="J1065" s="43" t="s">
        <v>264</v>
      </c>
    </row>
    <row r="1066" spans="2:10">
      <c r="B1066" s="25" t="str">
        <f ca="1">IFERROR(__xludf.DUMMYFUNCTION("""COMPUTED_VALUE"""),"MUNICIPALIDAD DISTRITAL")</f>
        <v>MUNICIPALIDAD DISTRITAL</v>
      </c>
      <c r="C1066" s="25" t="str">
        <f ca="1">IFERROR(__xludf.DUMMYFUNCTION("""COMPUTED_VALUE"""),"MUNICIPALIDAD DISTRITAL DE SAN CLEMENTE")</f>
        <v>MUNICIPALIDAD DISTRITAL DE SAN CLEMENTE</v>
      </c>
      <c r="D1066" s="25" t="str">
        <f ca="1">IFERROR(__xludf.DUMMYFUNCTION("""COMPUTED_VALUE"""),"ICA")</f>
        <v>ICA</v>
      </c>
      <c r="E1066" s="25" t="str">
        <f ca="1">IFERROR(__xludf.DUMMYFUNCTION("""COMPUTED_VALUE"""),"ICA")</f>
        <v>ICA</v>
      </c>
      <c r="F1066" s="25" t="str">
        <f ca="1">IFERROR(__xludf.DUMMYFUNCTION("""COMPUTED_VALUE"""),"PISCO")</f>
        <v>PISCO</v>
      </c>
      <c r="G1066" s="25" t="str">
        <f ca="1">IFERROR(__xludf.DUMMYFUNCTION("""COMPUTED_VALUE"""),"SAN CLEMENTE")</f>
        <v>SAN CLEMENTE</v>
      </c>
      <c r="H1066" s="25" t="str">
        <f ca="1">IFERROR(__xludf.DUMMYFUNCTION("""COMPUTED_VALUE"""),"URBANO")</f>
        <v>URBANO</v>
      </c>
      <c r="I1066" s="25" t="str">
        <f ca="1">IFERROR(__xludf.DUMMYFUNCTION("""COMPUTED_VALUE"""),"Prioridad 1")</f>
        <v>Prioridad 1</v>
      </c>
      <c r="J1066" s="43" t="s">
        <v>264</v>
      </c>
    </row>
    <row r="1067" spans="2:10">
      <c r="B1067" s="25" t="str">
        <f ca="1">IFERROR(__xludf.DUMMYFUNCTION("""COMPUTED_VALUE"""),"MUNICIPALIDAD DISTRITAL")</f>
        <v>MUNICIPALIDAD DISTRITAL</v>
      </c>
      <c r="C1067" s="25" t="str">
        <f ca="1">IFERROR(__xludf.DUMMYFUNCTION("""COMPUTED_VALUE"""),"MUNICIPALIDAD DISTRITAL DE TUPAC AMARU INCA")</f>
        <v>MUNICIPALIDAD DISTRITAL DE TUPAC AMARU INCA</v>
      </c>
      <c r="D1067" s="25" t="str">
        <f ca="1">IFERROR(__xludf.DUMMYFUNCTION("""COMPUTED_VALUE"""),"ICA")</f>
        <v>ICA</v>
      </c>
      <c r="E1067" s="25" t="str">
        <f ca="1">IFERROR(__xludf.DUMMYFUNCTION("""COMPUTED_VALUE"""),"ICA")</f>
        <v>ICA</v>
      </c>
      <c r="F1067" s="25" t="str">
        <f ca="1">IFERROR(__xludf.DUMMYFUNCTION("""COMPUTED_VALUE"""),"PISCO")</f>
        <v>PISCO</v>
      </c>
      <c r="G1067" s="25" t="str">
        <f ca="1">IFERROR(__xludf.DUMMYFUNCTION("""COMPUTED_VALUE"""),"TUPAC AMARU INCA")</f>
        <v>TUPAC AMARU INCA</v>
      </c>
      <c r="H1067" s="25" t="str">
        <f ca="1">IFERROR(__xludf.DUMMYFUNCTION("""COMPUTED_VALUE"""),"URBANO")</f>
        <v>URBANO</v>
      </c>
      <c r="I1067" s="25" t="str">
        <f ca="1">IFERROR(__xludf.DUMMYFUNCTION("""COMPUTED_VALUE"""),"Prioridad 2")</f>
        <v>Prioridad 2</v>
      </c>
      <c r="J1067" s="43" t="s">
        <v>264</v>
      </c>
    </row>
    <row r="1068" spans="2:10">
      <c r="B1068" s="25" t="str">
        <f ca="1">IFERROR(__xludf.DUMMYFUNCTION("""COMPUTED_VALUE"""),"MUNICIPALIDAD PROVINCIAL")</f>
        <v>MUNICIPALIDAD PROVINCIAL</v>
      </c>
      <c r="C1068" s="25" t="str">
        <f ca="1">IFERROR(__xludf.DUMMYFUNCTION("""COMPUTED_VALUE"""),"MUNICIPALIDAD PROVINCIAL DE CHANCHAMAYO")</f>
        <v>MUNICIPALIDAD PROVINCIAL DE CHANCHAMAYO</v>
      </c>
      <c r="D1068" s="25" t="str">
        <f ca="1">IFERROR(__xludf.DUMMYFUNCTION("""COMPUTED_VALUE"""),"JUNÍN")</f>
        <v>JUNÍN</v>
      </c>
      <c r="E1068" s="25" t="str">
        <f ca="1">IFERROR(__xludf.DUMMYFUNCTION("""COMPUTED_VALUE"""),"JUNÍN")</f>
        <v>JUNÍN</v>
      </c>
      <c r="F1068" s="25" t="str">
        <f ca="1">IFERROR(__xludf.DUMMYFUNCTION("""COMPUTED_VALUE"""),"CHANCHAMAYO")</f>
        <v>CHANCHAMAYO</v>
      </c>
      <c r="G1068" s="25" t="str">
        <f ca="1">IFERROR(__xludf.DUMMYFUNCTION("""COMPUTED_VALUE"""),"CHANCHAMAYO")</f>
        <v>CHANCHAMAYO</v>
      </c>
      <c r="H1068" s="25" t="str">
        <f ca="1">IFERROR(__xludf.DUMMYFUNCTION("""COMPUTED_VALUE"""),"URBANO")</f>
        <v>URBANO</v>
      </c>
      <c r="I1068" s="25" t="str">
        <f ca="1">IFERROR(__xludf.DUMMYFUNCTION("""COMPUTED_VALUE"""),"Prioridad 1")</f>
        <v>Prioridad 1</v>
      </c>
      <c r="J1068" s="43" t="s">
        <v>264</v>
      </c>
    </row>
    <row r="1069" spans="2:10">
      <c r="B1069" s="25" t="str">
        <f ca="1">IFERROR(__xludf.DUMMYFUNCTION("""COMPUTED_VALUE"""),"MUNICIPALIDAD DISTRITAL")</f>
        <v>MUNICIPALIDAD DISTRITAL</v>
      </c>
      <c r="C1069" s="25" t="str">
        <f ca="1">IFERROR(__xludf.DUMMYFUNCTION("""COMPUTED_VALUE"""),"MUNICIPALIDAD DISTRITAL DE SAN LUIS DE SHUARO")</f>
        <v>MUNICIPALIDAD DISTRITAL DE SAN LUIS DE SHUARO</v>
      </c>
      <c r="D1069" s="25" t="str">
        <f ca="1">IFERROR(__xludf.DUMMYFUNCTION("""COMPUTED_VALUE"""),"JUNÍN")</f>
        <v>JUNÍN</v>
      </c>
      <c r="E1069" s="25" t="str">
        <f ca="1">IFERROR(__xludf.DUMMYFUNCTION("""COMPUTED_VALUE"""),"JUNÍN")</f>
        <v>JUNÍN</v>
      </c>
      <c r="F1069" s="25" t="str">
        <f ca="1">IFERROR(__xludf.DUMMYFUNCTION("""COMPUTED_VALUE"""),"CHANCHAMAYO")</f>
        <v>CHANCHAMAYO</v>
      </c>
      <c r="G1069" s="25" t="str">
        <f ca="1">IFERROR(__xludf.DUMMYFUNCTION("""COMPUTED_VALUE"""),"SAN LUIS DE SHUARO")</f>
        <v>SAN LUIS DE SHUARO</v>
      </c>
      <c r="H1069" s="25" t="str">
        <f ca="1">IFERROR(__xludf.DUMMYFUNCTION("""COMPUTED_VALUE"""),"RURAL")</f>
        <v>RURAL</v>
      </c>
      <c r="I1069" s="25" t="str">
        <f ca="1">IFERROR(__xludf.DUMMYFUNCTION("""COMPUTED_VALUE"""),"Prioridad 3")</f>
        <v>Prioridad 3</v>
      </c>
      <c r="J1069" s="43" t="s">
        <v>264</v>
      </c>
    </row>
    <row r="1070" spans="2:10">
      <c r="B1070" s="25" t="str">
        <f ca="1">IFERROR(__xludf.DUMMYFUNCTION("""COMPUTED_VALUE"""),"MUNICIPALIDAD DISTRITAL")</f>
        <v>MUNICIPALIDAD DISTRITAL</v>
      </c>
      <c r="C1070" s="25" t="str">
        <f ca="1">IFERROR(__xludf.DUMMYFUNCTION("""COMPUTED_VALUE"""),"MUNICIPALIDAD DISTRITAL DE PERENE")</f>
        <v>MUNICIPALIDAD DISTRITAL DE PERENE</v>
      </c>
      <c r="D1070" s="25" t="str">
        <f ca="1">IFERROR(__xludf.DUMMYFUNCTION("""COMPUTED_VALUE"""),"JUNÍN")</f>
        <v>JUNÍN</v>
      </c>
      <c r="E1070" s="25" t="str">
        <f ca="1">IFERROR(__xludf.DUMMYFUNCTION("""COMPUTED_VALUE"""),"JUNÍN")</f>
        <v>JUNÍN</v>
      </c>
      <c r="F1070" s="25" t="str">
        <f ca="1">IFERROR(__xludf.DUMMYFUNCTION("""COMPUTED_VALUE"""),"CHANCHAMAYO")</f>
        <v>CHANCHAMAYO</v>
      </c>
      <c r="G1070" s="25" t="str">
        <f ca="1">IFERROR(__xludf.DUMMYFUNCTION("""COMPUTED_VALUE"""),"PERENE")</f>
        <v>PERENE</v>
      </c>
      <c r="H1070" s="25" t="str">
        <f ca="1">IFERROR(__xludf.DUMMYFUNCTION("""COMPUTED_VALUE"""),"URBANO")</f>
        <v>URBANO</v>
      </c>
      <c r="I1070" s="25" t="str">
        <f ca="1">IFERROR(__xludf.DUMMYFUNCTION("""COMPUTED_VALUE"""),"Prioridad 1")</f>
        <v>Prioridad 1</v>
      </c>
      <c r="J1070" s="43" t="s">
        <v>264</v>
      </c>
    </row>
    <row r="1071" spans="2:10">
      <c r="B1071" s="25" t="str">
        <f ca="1">IFERROR(__xludf.DUMMYFUNCTION("""COMPUTED_VALUE"""),"MUNICIPALIDAD DISTRITAL")</f>
        <v>MUNICIPALIDAD DISTRITAL</v>
      </c>
      <c r="C1071" s="25" t="str">
        <f ca="1">IFERROR(__xludf.DUMMYFUNCTION("""COMPUTED_VALUE"""),"MUNICIPALIDAD DISTRITAL DE PICHANAQUI")</f>
        <v>MUNICIPALIDAD DISTRITAL DE PICHANAQUI</v>
      </c>
      <c r="D1071" s="25" t="str">
        <f ca="1">IFERROR(__xludf.DUMMYFUNCTION("""COMPUTED_VALUE"""),"JUNÍN")</f>
        <v>JUNÍN</v>
      </c>
      <c r="E1071" s="25" t="str">
        <f ca="1">IFERROR(__xludf.DUMMYFUNCTION("""COMPUTED_VALUE"""),"JUNÍN")</f>
        <v>JUNÍN</v>
      </c>
      <c r="F1071" s="25" t="str">
        <f ca="1">IFERROR(__xludf.DUMMYFUNCTION("""COMPUTED_VALUE"""),"CHANCHAMAYO")</f>
        <v>CHANCHAMAYO</v>
      </c>
      <c r="G1071" s="25" t="str">
        <f ca="1">IFERROR(__xludf.DUMMYFUNCTION("""COMPUTED_VALUE"""),"PICHANAQUI")</f>
        <v>PICHANAQUI</v>
      </c>
      <c r="H1071" s="25" t="str">
        <f ca="1">IFERROR(__xludf.DUMMYFUNCTION("""COMPUTED_VALUE"""),"RURAL")</f>
        <v>RURAL</v>
      </c>
      <c r="I1071" s="25" t="str">
        <f ca="1">IFERROR(__xludf.DUMMYFUNCTION("""COMPUTED_VALUE"""),"Prioridad 1")</f>
        <v>Prioridad 1</v>
      </c>
      <c r="J1071" s="43" t="s">
        <v>264</v>
      </c>
    </row>
    <row r="1072" spans="2:10">
      <c r="B1072" s="25" t="str">
        <f ca="1">IFERROR(__xludf.DUMMYFUNCTION("""COMPUTED_VALUE"""),"MUNICIPALIDAD DISTRITAL")</f>
        <v>MUNICIPALIDAD DISTRITAL</v>
      </c>
      <c r="C1072" s="25" t="str">
        <f ca="1">IFERROR(__xludf.DUMMYFUNCTION("""COMPUTED_VALUE"""),"MUNICIPALIDAD DISTRITAL DE SAN RAMON")</f>
        <v>MUNICIPALIDAD DISTRITAL DE SAN RAMON</v>
      </c>
      <c r="D1072" s="25" t="str">
        <f ca="1">IFERROR(__xludf.DUMMYFUNCTION("""COMPUTED_VALUE"""),"JUNÍN")</f>
        <v>JUNÍN</v>
      </c>
      <c r="E1072" s="25" t="str">
        <f ca="1">IFERROR(__xludf.DUMMYFUNCTION("""COMPUTED_VALUE"""),"JUNÍN")</f>
        <v>JUNÍN</v>
      </c>
      <c r="F1072" s="25" t="str">
        <f ca="1">IFERROR(__xludf.DUMMYFUNCTION("""COMPUTED_VALUE"""),"CHANCHAMAYO")</f>
        <v>CHANCHAMAYO</v>
      </c>
      <c r="G1072" s="25" t="str">
        <f ca="1">IFERROR(__xludf.DUMMYFUNCTION("""COMPUTED_VALUE"""),"SAN RAMON")</f>
        <v>SAN RAMON</v>
      </c>
      <c r="H1072" s="25" t="str">
        <f ca="1">IFERROR(__xludf.DUMMYFUNCTION("""COMPUTED_VALUE"""),"URBANO")</f>
        <v>URBANO</v>
      </c>
      <c r="I1072" s="25" t="str">
        <f ca="1">IFERROR(__xludf.DUMMYFUNCTION("""COMPUTED_VALUE"""),"Prioridad 1")</f>
        <v>Prioridad 1</v>
      </c>
      <c r="J1072" s="43" t="s">
        <v>264</v>
      </c>
    </row>
    <row r="1073" spans="2:10">
      <c r="B1073" s="25" t="str">
        <f ca="1">IFERROR(__xludf.DUMMYFUNCTION("""COMPUTED_VALUE"""),"MUNICIPALIDAD DISTRITAL")</f>
        <v>MUNICIPALIDAD DISTRITAL</v>
      </c>
      <c r="C1073" s="25" t="str">
        <f ca="1">IFERROR(__xludf.DUMMYFUNCTION("""COMPUTED_VALUE"""),"MUNICIPALIDAD DISTRITAL DE VITOC")</f>
        <v>MUNICIPALIDAD DISTRITAL DE VITOC</v>
      </c>
      <c r="D1073" s="25" t="str">
        <f ca="1">IFERROR(__xludf.DUMMYFUNCTION("""COMPUTED_VALUE"""),"JUNÍN")</f>
        <v>JUNÍN</v>
      </c>
      <c r="E1073" s="25" t="str">
        <f ca="1">IFERROR(__xludf.DUMMYFUNCTION("""COMPUTED_VALUE"""),"JUNÍN")</f>
        <v>JUNÍN</v>
      </c>
      <c r="F1073" s="25" t="str">
        <f ca="1">IFERROR(__xludf.DUMMYFUNCTION("""COMPUTED_VALUE"""),"CHANCHAMAYO")</f>
        <v>CHANCHAMAYO</v>
      </c>
      <c r="G1073" s="25" t="str">
        <f ca="1">IFERROR(__xludf.DUMMYFUNCTION("""COMPUTED_VALUE"""),"VITOC")</f>
        <v>VITOC</v>
      </c>
      <c r="H1073" s="25" t="str">
        <f ca="1">IFERROR(__xludf.DUMMYFUNCTION("""COMPUTED_VALUE"""),"RURAL")</f>
        <v>RURAL</v>
      </c>
      <c r="I1073" s="25" t="str">
        <f ca="1">IFERROR(__xludf.DUMMYFUNCTION("""COMPUTED_VALUE"""),"Prioridad 3")</f>
        <v>Prioridad 3</v>
      </c>
      <c r="J1073" s="43" t="s">
        <v>264</v>
      </c>
    </row>
    <row r="1074" spans="2:10">
      <c r="B1074" s="25" t="str">
        <f ca="1">IFERROR(__xludf.DUMMYFUNCTION("""COMPUTED_VALUE"""),"MUNICIPALIDAD PROVINCIAL")</f>
        <v>MUNICIPALIDAD PROVINCIAL</v>
      </c>
      <c r="C1074" s="25" t="str">
        <f ca="1">IFERROR(__xludf.DUMMYFUNCTION("""COMPUTED_VALUE"""),"MUNICIPALIDAD PROVINCIAL DE CHUPACA")</f>
        <v>MUNICIPALIDAD PROVINCIAL DE CHUPACA</v>
      </c>
      <c r="D1074" s="25" t="str">
        <f ca="1">IFERROR(__xludf.DUMMYFUNCTION("""COMPUTED_VALUE"""),"JUNÍN")</f>
        <v>JUNÍN</v>
      </c>
      <c r="E1074" s="25" t="str">
        <f ca="1">IFERROR(__xludf.DUMMYFUNCTION("""COMPUTED_VALUE"""),"JUNÍN")</f>
        <v>JUNÍN</v>
      </c>
      <c r="F1074" s="25" t="str">
        <f ca="1">IFERROR(__xludf.DUMMYFUNCTION("""COMPUTED_VALUE"""),"CHUPACA")</f>
        <v>CHUPACA</v>
      </c>
      <c r="G1074" s="25" t="str">
        <f ca="1">IFERROR(__xludf.DUMMYFUNCTION("""COMPUTED_VALUE"""),"CHUPACA")</f>
        <v>CHUPACA</v>
      </c>
      <c r="H1074" s="25" t="str">
        <f ca="1">IFERROR(__xludf.DUMMYFUNCTION("""COMPUTED_VALUE"""),"URBANO")</f>
        <v>URBANO</v>
      </c>
      <c r="I1074" s="25" t="str">
        <f ca="1">IFERROR(__xludf.DUMMYFUNCTION("""COMPUTED_VALUE"""),"Prioridad 1")</f>
        <v>Prioridad 1</v>
      </c>
      <c r="J1074" s="43" t="s">
        <v>264</v>
      </c>
    </row>
    <row r="1075" spans="2:10">
      <c r="B1075" s="25" t="str">
        <f ca="1">IFERROR(__xludf.DUMMYFUNCTION("""COMPUTED_VALUE"""),"MUNICIPALIDAD DISTRITAL")</f>
        <v>MUNICIPALIDAD DISTRITAL</v>
      </c>
      <c r="C1075" s="25" t="str">
        <f ca="1">IFERROR(__xludf.DUMMYFUNCTION("""COMPUTED_VALUE"""),"MUNICIPALIDAD DISTRITAL DE AHUAC")</f>
        <v>MUNICIPALIDAD DISTRITAL DE AHUAC</v>
      </c>
      <c r="D1075" s="25" t="str">
        <f ca="1">IFERROR(__xludf.DUMMYFUNCTION("""COMPUTED_VALUE"""),"JUNÍN")</f>
        <v>JUNÍN</v>
      </c>
      <c r="E1075" s="25" t="str">
        <f ca="1">IFERROR(__xludf.DUMMYFUNCTION("""COMPUTED_VALUE"""),"JUNÍN")</f>
        <v>JUNÍN</v>
      </c>
      <c r="F1075" s="25" t="str">
        <f ca="1">IFERROR(__xludf.DUMMYFUNCTION("""COMPUTED_VALUE"""),"CHUPACA")</f>
        <v>CHUPACA</v>
      </c>
      <c r="G1075" s="25" t="str">
        <f ca="1">IFERROR(__xludf.DUMMYFUNCTION("""COMPUTED_VALUE"""),"AHUAC")</f>
        <v>AHUAC</v>
      </c>
      <c r="H1075" s="25" t="str">
        <f ca="1">IFERROR(__xludf.DUMMYFUNCTION("""COMPUTED_VALUE"""),"URBANO")</f>
        <v>URBANO</v>
      </c>
      <c r="I1075" s="25" t="str">
        <f ca="1">IFERROR(__xludf.DUMMYFUNCTION("""COMPUTED_VALUE"""),"Prioridad 3")</f>
        <v>Prioridad 3</v>
      </c>
      <c r="J1075" s="43" t="s">
        <v>264</v>
      </c>
    </row>
    <row r="1076" spans="2:10">
      <c r="B1076" s="25" t="str">
        <f ca="1">IFERROR(__xludf.DUMMYFUNCTION("""COMPUTED_VALUE"""),"MUNICIPALIDAD DISTRITAL")</f>
        <v>MUNICIPALIDAD DISTRITAL</v>
      </c>
      <c r="C1076" s="25" t="str">
        <f ca="1">IFERROR(__xludf.DUMMYFUNCTION("""COMPUTED_VALUE"""),"MUNICIPALIDAD DISTRITAL DE CHONGOS BAJO")</f>
        <v>MUNICIPALIDAD DISTRITAL DE CHONGOS BAJO</v>
      </c>
      <c r="D1076" s="25" t="str">
        <f ca="1">IFERROR(__xludf.DUMMYFUNCTION("""COMPUTED_VALUE"""),"JUNÍN")</f>
        <v>JUNÍN</v>
      </c>
      <c r="E1076" s="25" t="str">
        <f ca="1">IFERROR(__xludf.DUMMYFUNCTION("""COMPUTED_VALUE"""),"JUNÍN")</f>
        <v>JUNÍN</v>
      </c>
      <c r="F1076" s="25" t="str">
        <f ca="1">IFERROR(__xludf.DUMMYFUNCTION("""COMPUTED_VALUE"""),"CHUPACA")</f>
        <v>CHUPACA</v>
      </c>
      <c r="G1076" s="25" t="str">
        <f ca="1">IFERROR(__xludf.DUMMYFUNCTION("""COMPUTED_VALUE"""),"CHONGOS BAJO")</f>
        <v>CHONGOS BAJO</v>
      </c>
      <c r="H1076" s="25" t="str">
        <f ca="1">IFERROR(__xludf.DUMMYFUNCTION("""COMPUTED_VALUE"""),"URBANO")</f>
        <v>URBANO</v>
      </c>
      <c r="I1076" s="25" t="str">
        <f ca="1">IFERROR(__xludf.DUMMYFUNCTION("""COMPUTED_VALUE"""),"Prioridad 2")</f>
        <v>Prioridad 2</v>
      </c>
      <c r="J1076" s="43" t="s">
        <v>264</v>
      </c>
    </row>
    <row r="1077" spans="2:10">
      <c r="B1077" s="25" t="str">
        <f ca="1">IFERROR(__xludf.DUMMYFUNCTION("""COMPUTED_VALUE"""),"MUNICIPALIDAD DISTRITAL")</f>
        <v>MUNICIPALIDAD DISTRITAL</v>
      </c>
      <c r="C1077" s="25" t="str">
        <f ca="1">IFERROR(__xludf.DUMMYFUNCTION("""COMPUTED_VALUE"""),"MUNICIPALIDAD DISTRITAL DE HUACHAC")</f>
        <v>MUNICIPALIDAD DISTRITAL DE HUACHAC</v>
      </c>
      <c r="D1077" s="25" t="str">
        <f ca="1">IFERROR(__xludf.DUMMYFUNCTION("""COMPUTED_VALUE"""),"JUNÍN")</f>
        <v>JUNÍN</v>
      </c>
      <c r="E1077" s="25" t="str">
        <f ca="1">IFERROR(__xludf.DUMMYFUNCTION("""COMPUTED_VALUE"""),"JUNÍN")</f>
        <v>JUNÍN</v>
      </c>
      <c r="F1077" s="25" t="str">
        <f ca="1">IFERROR(__xludf.DUMMYFUNCTION("""COMPUTED_VALUE"""),"CHUPACA")</f>
        <v>CHUPACA</v>
      </c>
      <c r="G1077" s="25" t="str">
        <f ca="1">IFERROR(__xludf.DUMMYFUNCTION("""COMPUTED_VALUE"""),"HUACHAC")</f>
        <v>HUACHAC</v>
      </c>
      <c r="H1077" s="25" t="str">
        <f ca="1">IFERROR(__xludf.DUMMYFUNCTION("""COMPUTED_VALUE"""),"RURAL")</f>
        <v>RURAL</v>
      </c>
      <c r="I1077" s="25" t="str">
        <f ca="1">IFERROR(__xludf.DUMMYFUNCTION("""COMPUTED_VALUE"""),"Prioridad 3")</f>
        <v>Prioridad 3</v>
      </c>
      <c r="J1077" s="43" t="s">
        <v>264</v>
      </c>
    </row>
    <row r="1078" spans="2:10">
      <c r="B1078" s="25" t="str">
        <f ca="1">IFERROR(__xludf.DUMMYFUNCTION("""COMPUTED_VALUE"""),"MUNICIPALIDAD DISTRITAL")</f>
        <v>MUNICIPALIDAD DISTRITAL</v>
      </c>
      <c r="C1078" s="25" t="str">
        <f ca="1">IFERROR(__xludf.DUMMYFUNCTION("""COMPUTED_VALUE"""),"MUNICIPALIDAD DISTRITAL DE HUAMANCACA CHICO")</f>
        <v>MUNICIPALIDAD DISTRITAL DE HUAMANCACA CHICO</v>
      </c>
      <c r="D1078" s="25" t="str">
        <f ca="1">IFERROR(__xludf.DUMMYFUNCTION("""COMPUTED_VALUE"""),"JUNÍN")</f>
        <v>JUNÍN</v>
      </c>
      <c r="E1078" s="25" t="str">
        <f ca="1">IFERROR(__xludf.DUMMYFUNCTION("""COMPUTED_VALUE"""),"JUNÍN")</f>
        <v>JUNÍN</v>
      </c>
      <c r="F1078" s="25" t="str">
        <f ca="1">IFERROR(__xludf.DUMMYFUNCTION("""COMPUTED_VALUE"""),"CHUPACA")</f>
        <v>CHUPACA</v>
      </c>
      <c r="G1078" s="25" t="str">
        <f ca="1">IFERROR(__xludf.DUMMYFUNCTION("""COMPUTED_VALUE"""),"HUAMANCACA CHICO")</f>
        <v>HUAMANCACA CHICO</v>
      </c>
      <c r="H1078" s="25" t="str">
        <f ca="1">IFERROR(__xludf.DUMMYFUNCTION("""COMPUTED_VALUE"""),"URBANO")</f>
        <v>URBANO</v>
      </c>
      <c r="I1078" s="25" t="str">
        <f ca="1">IFERROR(__xludf.DUMMYFUNCTION("""COMPUTED_VALUE"""),"Prioridad 2")</f>
        <v>Prioridad 2</v>
      </c>
      <c r="J1078" s="43" t="s">
        <v>264</v>
      </c>
    </row>
    <row r="1079" spans="2:10">
      <c r="B1079" s="25" t="str">
        <f ca="1">IFERROR(__xludf.DUMMYFUNCTION("""COMPUTED_VALUE"""),"MUNICIPALIDAD DISTRITAL")</f>
        <v>MUNICIPALIDAD DISTRITAL</v>
      </c>
      <c r="C1079" s="25" t="str">
        <f ca="1">IFERROR(__xludf.DUMMYFUNCTION("""COMPUTED_VALUE"""),"MUNICIPALIDAD DISTRITAL DE SAN JUAN DE ISCOS")</f>
        <v>MUNICIPALIDAD DISTRITAL DE SAN JUAN DE ISCOS</v>
      </c>
      <c r="D1079" s="25" t="str">
        <f ca="1">IFERROR(__xludf.DUMMYFUNCTION("""COMPUTED_VALUE"""),"JUNÍN")</f>
        <v>JUNÍN</v>
      </c>
      <c r="E1079" s="25" t="str">
        <f ca="1">IFERROR(__xludf.DUMMYFUNCTION("""COMPUTED_VALUE"""),"JUNÍN")</f>
        <v>JUNÍN</v>
      </c>
      <c r="F1079" s="25" t="str">
        <f ca="1">IFERROR(__xludf.DUMMYFUNCTION("""COMPUTED_VALUE"""),"CHUPACA")</f>
        <v>CHUPACA</v>
      </c>
      <c r="G1079" s="25" t="str">
        <f ca="1">IFERROR(__xludf.DUMMYFUNCTION("""COMPUTED_VALUE"""),"SAN JUAN DE ISCOS")</f>
        <v>SAN JUAN DE ISCOS</v>
      </c>
      <c r="H1079" s="25" t="str">
        <f ca="1">IFERROR(__xludf.DUMMYFUNCTION("""COMPUTED_VALUE"""),"RURAL")</f>
        <v>RURAL</v>
      </c>
      <c r="I1079" s="25" t="str">
        <f ca="1">IFERROR(__xludf.DUMMYFUNCTION("""COMPUTED_VALUE"""),"Prioridad 3")</f>
        <v>Prioridad 3</v>
      </c>
      <c r="J1079" s="43" t="s">
        <v>264</v>
      </c>
    </row>
    <row r="1080" spans="2:10">
      <c r="B1080" s="25" t="str">
        <f ca="1">IFERROR(__xludf.DUMMYFUNCTION("""COMPUTED_VALUE"""),"MUNICIPALIDAD DISTRITAL")</f>
        <v>MUNICIPALIDAD DISTRITAL</v>
      </c>
      <c r="C1080" s="25" t="str">
        <f ca="1">IFERROR(__xludf.DUMMYFUNCTION("""COMPUTED_VALUE"""),"MUNICIPALIDAD DISTRITAL DE SAN JUAN DE JARPA")</f>
        <v>MUNICIPALIDAD DISTRITAL DE SAN JUAN DE JARPA</v>
      </c>
      <c r="D1080" s="25" t="str">
        <f ca="1">IFERROR(__xludf.DUMMYFUNCTION("""COMPUTED_VALUE"""),"JUNÍN")</f>
        <v>JUNÍN</v>
      </c>
      <c r="E1080" s="25" t="str">
        <f ca="1">IFERROR(__xludf.DUMMYFUNCTION("""COMPUTED_VALUE"""),"JUNÍN")</f>
        <v>JUNÍN</v>
      </c>
      <c r="F1080" s="25" t="str">
        <f ca="1">IFERROR(__xludf.DUMMYFUNCTION("""COMPUTED_VALUE"""),"CHUPACA")</f>
        <v>CHUPACA</v>
      </c>
      <c r="G1080" s="25" t="str">
        <f ca="1">IFERROR(__xludf.DUMMYFUNCTION("""COMPUTED_VALUE"""),"SAN JUAN DE JARPA")</f>
        <v>SAN JUAN DE JARPA</v>
      </c>
      <c r="H1080" s="25" t="str">
        <f ca="1">IFERROR(__xludf.DUMMYFUNCTION("""COMPUTED_VALUE"""),"RURAL")</f>
        <v>RURAL</v>
      </c>
      <c r="I1080" s="25" t="str">
        <f ca="1">IFERROR(__xludf.DUMMYFUNCTION("""COMPUTED_VALUE"""),"Prioridad 5")</f>
        <v>Prioridad 5</v>
      </c>
      <c r="J1080" s="43" t="s">
        <v>264</v>
      </c>
    </row>
    <row r="1081" spans="2:10">
      <c r="B1081" s="25" t="str">
        <f ca="1">IFERROR(__xludf.DUMMYFUNCTION("""COMPUTED_VALUE"""),"MUNICIPALIDAD DISTRITAL")</f>
        <v>MUNICIPALIDAD DISTRITAL</v>
      </c>
      <c r="C1081" s="25" t="str">
        <f ca="1">IFERROR(__xludf.DUMMYFUNCTION("""COMPUTED_VALUE"""),"MUNICIPALIDAD DISTRITAL DE TRES DE DICIEMBRE")</f>
        <v>MUNICIPALIDAD DISTRITAL DE TRES DE DICIEMBRE</v>
      </c>
      <c r="D1081" s="25" t="str">
        <f ca="1">IFERROR(__xludf.DUMMYFUNCTION("""COMPUTED_VALUE"""),"JUNÍN")</f>
        <v>JUNÍN</v>
      </c>
      <c r="E1081" s="25" t="str">
        <f ca="1">IFERROR(__xludf.DUMMYFUNCTION("""COMPUTED_VALUE"""),"JUNÍN")</f>
        <v>JUNÍN</v>
      </c>
      <c r="F1081" s="25" t="str">
        <f ca="1">IFERROR(__xludf.DUMMYFUNCTION("""COMPUTED_VALUE"""),"CHUPACA")</f>
        <v>CHUPACA</v>
      </c>
      <c r="G1081" s="25" t="str">
        <f ca="1">IFERROR(__xludf.DUMMYFUNCTION("""COMPUTED_VALUE"""),"TRES DE DICIEMBRE")</f>
        <v>TRES DE DICIEMBRE</v>
      </c>
      <c r="H1081" s="25" t="str">
        <f ca="1">IFERROR(__xludf.DUMMYFUNCTION("""COMPUTED_VALUE"""),"URBANO")</f>
        <v>URBANO</v>
      </c>
      <c r="I1081" s="25" t="str">
        <f ca="1">IFERROR(__xludf.DUMMYFUNCTION("""COMPUTED_VALUE"""),"Prioridad 4")</f>
        <v>Prioridad 4</v>
      </c>
      <c r="J1081" s="43" t="s">
        <v>264</v>
      </c>
    </row>
    <row r="1082" spans="2:10">
      <c r="B1082" s="25" t="str">
        <f ca="1">IFERROR(__xludf.DUMMYFUNCTION("""COMPUTED_VALUE"""),"MUNICIPALIDAD DISTRITAL")</f>
        <v>MUNICIPALIDAD DISTRITAL</v>
      </c>
      <c r="C1082" s="25" t="str">
        <f ca="1">IFERROR(__xludf.DUMMYFUNCTION("""COMPUTED_VALUE"""),"MUNICIPALIDAD DISTRITAL DE YANACANCHA EN CHUPACA")</f>
        <v>MUNICIPALIDAD DISTRITAL DE YANACANCHA EN CHUPACA</v>
      </c>
      <c r="D1082" s="25" t="str">
        <f ca="1">IFERROR(__xludf.DUMMYFUNCTION("""COMPUTED_VALUE"""),"JUNÍN")</f>
        <v>JUNÍN</v>
      </c>
      <c r="E1082" s="25" t="str">
        <f ca="1">IFERROR(__xludf.DUMMYFUNCTION("""COMPUTED_VALUE"""),"JUNÍN")</f>
        <v>JUNÍN</v>
      </c>
      <c r="F1082" s="25" t="str">
        <f ca="1">IFERROR(__xludf.DUMMYFUNCTION("""COMPUTED_VALUE"""),"CHUPACA")</f>
        <v>CHUPACA</v>
      </c>
      <c r="G1082" s="25" t="str">
        <f ca="1">IFERROR(__xludf.DUMMYFUNCTION("""COMPUTED_VALUE"""),"YANACANCHA")</f>
        <v>YANACANCHA</v>
      </c>
      <c r="H1082" s="25" t="str">
        <f ca="1">IFERROR(__xludf.DUMMYFUNCTION("""COMPUTED_VALUE"""),"RURAL")</f>
        <v>RURAL</v>
      </c>
      <c r="I1082" s="25" t="str">
        <f ca="1">IFERROR(__xludf.DUMMYFUNCTION("""COMPUTED_VALUE"""),"Prioridad 4")</f>
        <v>Prioridad 4</v>
      </c>
      <c r="J1082" s="43" t="s">
        <v>264</v>
      </c>
    </row>
    <row r="1083" spans="2:10">
      <c r="B1083" s="25" t="str">
        <f ca="1">IFERROR(__xludf.DUMMYFUNCTION("""COMPUTED_VALUE"""),"MUNICIPALIDAD PROVINCIAL")</f>
        <v>MUNICIPALIDAD PROVINCIAL</v>
      </c>
      <c r="C1083" s="25" t="str">
        <f ca="1">IFERROR(__xludf.DUMMYFUNCTION("""COMPUTED_VALUE"""),"MUNICIPALIDAD PROVINCIAL DE CONCEPCION")</f>
        <v>MUNICIPALIDAD PROVINCIAL DE CONCEPCION</v>
      </c>
      <c r="D1083" s="25" t="str">
        <f ca="1">IFERROR(__xludf.DUMMYFUNCTION("""COMPUTED_VALUE"""),"JUNÍN")</f>
        <v>JUNÍN</v>
      </c>
      <c r="E1083" s="25" t="str">
        <f ca="1">IFERROR(__xludf.DUMMYFUNCTION("""COMPUTED_VALUE"""),"JUNÍN")</f>
        <v>JUNÍN</v>
      </c>
      <c r="F1083" s="25" t="str">
        <f ca="1">IFERROR(__xludf.DUMMYFUNCTION("""COMPUTED_VALUE"""),"CONCEPCION")</f>
        <v>CONCEPCION</v>
      </c>
      <c r="G1083" s="25" t="str">
        <f ca="1">IFERROR(__xludf.DUMMYFUNCTION("""COMPUTED_VALUE"""),"CONCEPCION")</f>
        <v>CONCEPCION</v>
      </c>
      <c r="H1083" s="25" t="str">
        <f ca="1">IFERROR(__xludf.DUMMYFUNCTION("""COMPUTED_VALUE"""),"URBANO")</f>
        <v>URBANO</v>
      </c>
      <c r="I1083" s="25" t="str">
        <f ca="1">IFERROR(__xludf.DUMMYFUNCTION("""COMPUTED_VALUE"""),"Prioridad 1")</f>
        <v>Prioridad 1</v>
      </c>
      <c r="J1083" s="43" t="s">
        <v>264</v>
      </c>
    </row>
    <row r="1084" spans="2:10">
      <c r="B1084" s="25" t="str">
        <f ca="1">IFERROR(__xludf.DUMMYFUNCTION("""COMPUTED_VALUE"""),"MUNICIPALIDAD DISTRITAL")</f>
        <v>MUNICIPALIDAD DISTRITAL</v>
      </c>
      <c r="C1084" s="25" t="str">
        <f ca="1">IFERROR(__xludf.DUMMYFUNCTION("""COMPUTED_VALUE"""),"MUNICIPALIDAD DISTRITAL DE ACO EN CONCEPCION")</f>
        <v>MUNICIPALIDAD DISTRITAL DE ACO EN CONCEPCION</v>
      </c>
      <c r="D1084" s="25" t="str">
        <f ca="1">IFERROR(__xludf.DUMMYFUNCTION("""COMPUTED_VALUE"""),"JUNÍN")</f>
        <v>JUNÍN</v>
      </c>
      <c r="E1084" s="25" t="str">
        <f ca="1">IFERROR(__xludf.DUMMYFUNCTION("""COMPUTED_VALUE"""),"JUNÍN")</f>
        <v>JUNÍN</v>
      </c>
      <c r="F1084" s="25" t="str">
        <f ca="1">IFERROR(__xludf.DUMMYFUNCTION("""COMPUTED_VALUE"""),"CONCEPCION")</f>
        <v>CONCEPCION</v>
      </c>
      <c r="G1084" s="25" t="str">
        <f ca="1">IFERROR(__xludf.DUMMYFUNCTION("""COMPUTED_VALUE"""),"ACO")</f>
        <v>ACO</v>
      </c>
      <c r="H1084" s="25" t="str">
        <f ca="1">IFERROR(__xludf.DUMMYFUNCTION("""COMPUTED_VALUE"""),"RURAL")</f>
        <v>RURAL</v>
      </c>
      <c r="I1084" s="25" t="str">
        <f ca="1">IFERROR(__xludf.DUMMYFUNCTION("""COMPUTED_VALUE"""),"Prioridad 2")</f>
        <v>Prioridad 2</v>
      </c>
      <c r="J1084" s="43" t="s">
        <v>264</v>
      </c>
    </row>
    <row r="1085" spans="2:10">
      <c r="B1085" s="25" t="str">
        <f ca="1">IFERROR(__xludf.DUMMYFUNCTION("""COMPUTED_VALUE"""),"MUNICIPALIDAD DISTRITAL")</f>
        <v>MUNICIPALIDAD DISTRITAL</v>
      </c>
      <c r="C1085" s="25" t="str">
        <f ca="1">IFERROR(__xludf.DUMMYFUNCTION("""COMPUTED_VALUE"""),"MUNICIPALIDAD DISTRITAL DE ANDAMARCA")</f>
        <v>MUNICIPALIDAD DISTRITAL DE ANDAMARCA</v>
      </c>
      <c r="D1085" s="25" t="str">
        <f ca="1">IFERROR(__xludf.DUMMYFUNCTION("""COMPUTED_VALUE"""),"JUNÍN")</f>
        <v>JUNÍN</v>
      </c>
      <c r="E1085" s="25" t="str">
        <f ca="1">IFERROR(__xludf.DUMMYFUNCTION("""COMPUTED_VALUE"""),"JUNÍN")</f>
        <v>JUNÍN</v>
      </c>
      <c r="F1085" s="25" t="str">
        <f ca="1">IFERROR(__xludf.DUMMYFUNCTION("""COMPUTED_VALUE"""),"CONCEPCION")</f>
        <v>CONCEPCION</v>
      </c>
      <c r="G1085" s="25" t="str">
        <f ca="1">IFERROR(__xludf.DUMMYFUNCTION("""COMPUTED_VALUE"""),"ANDAMARCA")</f>
        <v>ANDAMARCA</v>
      </c>
      <c r="H1085" s="25" t="str">
        <f ca="1">IFERROR(__xludf.DUMMYFUNCTION("""COMPUTED_VALUE"""),"RURAL")</f>
        <v>RURAL</v>
      </c>
      <c r="I1085" s="25" t="str">
        <f ca="1">IFERROR(__xludf.DUMMYFUNCTION("""COMPUTED_VALUE"""),"Prioridad 5")</f>
        <v>Prioridad 5</v>
      </c>
      <c r="J1085" s="43" t="s">
        <v>264</v>
      </c>
    </row>
    <row r="1086" spans="2:10">
      <c r="B1086" s="25" t="str">
        <f ca="1">IFERROR(__xludf.DUMMYFUNCTION("""COMPUTED_VALUE"""),"MUNICIPALIDAD DISTRITAL")</f>
        <v>MUNICIPALIDAD DISTRITAL</v>
      </c>
      <c r="C1086" s="25" t="str">
        <f ca="1">IFERROR(__xludf.DUMMYFUNCTION("""COMPUTED_VALUE"""),"MUNICIPALIDAD DISTRITAL DE CHAMBARA")</f>
        <v>MUNICIPALIDAD DISTRITAL DE CHAMBARA</v>
      </c>
      <c r="D1086" s="25" t="str">
        <f ca="1">IFERROR(__xludf.DUMMYFUNCTION("""COMPUTED_VALUE"""),"JUNÍN")</f>
        <v>JUNÍN</v>
      </c>
      <c r="E1086" s="25" t="str">
        <f ca="1">IFERROR(__xludf.DUMMYFUNCTION("""COMPUTED_VALUE"""),"JUNÍN")</f>
        <v>JUNÍN</v>
      </c>
      <c r="F1086" s="25" t="str">
        <f ca="1">IFERROR(__xludf.DUMMYFUNCTION("""COMPUTED_VALUE"""),"CONCEPCION")</f>
        <v>CONCEPCION</v>
      </c>
      <c r="G1086" s="25" t="str">
        <f ca="1">IFERROR(__xludf.DUMMYFUNCTION("""COMPUTED_VALUE"""),"CHAMBARA")</f>
        <v>CHAMBARA</v>
      </c>
      <c r="H1086" s="25" t="str">
        <f ca="1">IFERROR(__xludf.DUMMYFUNCTION("""COMPUTED_VALUE"""),"RURAL")</f>
        <v>RURAL</v>
      </c>
      <c r="I1086" s="25" t="str">
        <f ca="1">IFERROR(__xludf.DUMMYFUNCTION("""COMPUTED_VALUE"""),"Prioridad 5")</f>
        <v>Prioridad 5</v>
      </c>
      <c r="J1086" s="43" t="s">
        <v>264</v>
      </c>
    </row>
    <row r="1087" spans="2:10">
      <c r="B1087" s="25" t="str">
        <f ca="1">IFERROR(__xludf.DUMMYFUNCTION("""COMPUTED_VALUE"""),"MUNICIPALIDAD DISTRITAL")</f>
        <v>MUNICIPALIDAD DISTRITAL</v>
      </c>
      <c r="C1087" s="25" t="str">
        <f ca="1">IFERROR(__xludf.DUMMYFUNCTION("""COMPUTED_VALUE"""),"MUNICIPALIDAD DISTRITAL DE COCHAS EN CONCEPCION")</f>
        <v>MUNICIPALIDAD DISTRITAL DE COCHAS EN CONCEPCION</v>
      </c>
      <c r="D1087" s="25" t="str">
        <f ca="1">IFERROR(__xludf.DUMMYFUNCTION("""COMPUTED_VALUE"""),"JUNÍN")</f>
        <v>JUNÍN</v>
      </c>
      <c r="E1087" s="25" t="str">
        <f ca="1">IFERROR(__xludf.DUMMYFUNCTION("""COMPUTED_VALUE"""),"JUNÍN")</f>
        <v>JUNÍN</v>
      </c>
      <c r="F1087" s="25" t="str">
        <f ca="1">IFERROR(__xludf.DUMMYFUNCTION("""COMPUTED_VALUE"""),"CONCEPCION")</f>
        <v>CONCEPCION</v>
      </c>
      <c r="G1087" s="25" t="str">
        <f ca="1">IFERROR(__xludf.DUMMYFUNCTION("""COMPUTED_VALUE"""),"COCHAS")</f>
        <v>COCHAS</v>
      </c>
      <c r="H1087" s="25" t="str">
        <f ca="1">IFERROR(__xludf.DUMMYFUNCTION("""COMPUTED_VALUE"""),"RURAL")</f>
        <v>RURAL</v>
      </c>
      <c r="I1087" s="25" t="str">
        <f ca="1">IFERROR(__xludf.DUMMYFUNCTION("""COMPUTED_VALUE"""),"Prioridad 5")</f>
        <v>Prioridad 5</v>
      </c>
      <c r="J1087" s="43" t="s">
        <v>264</v>
      </c>
    </row>
    <row r="1088" spans="2:10">
      <c r="B1088" s="25" t="str">
        <f ca="1">IFERROR(__xludf.DUMMYFUNCTION("""COMPUTED_VALUE"""),"MUNICIPALIDAD DISTRITAL")</f>
        <v>MUNICIPALIDAD DISTRITAL</v>
      </c>
      <c r="C1088" s="25" t="str">
        <f ca="1">IFERROR(__xludf.DUMMYFUNCTION("""COMPUTED_VALUE"""),"MUNICIPALIDAD DISTRITAL DE COMAS EN CONCEPCION")</f>
        <v>MUNICIPALIDAD DISTRITAL DE COMAS EN CONCEPCION</v>
      </c>
      <c r="D1088" s="25" t="str">
        <f ca="1">IFERROR(__xludf.DUMMYFUNCTION("""COMPUTED_VALUE"""),"JUNÍN")</f>
        <v>JUNÍN</v>
      </c>
      <c r="E1088" s="25" t="str">
        <f ca="1">IFERROR(__xludf.DUMMYFUNCTION("""COMPUTED_VALUE"""),"JUNÍN")</f>
        <v>JUNÍN</v>
      </c>
      <c r="F1088" s="25" t="str">
        <f ca="1">IFERROR(__xludf.DUMMYFUNCTION("""COMPUTED_VALUE"""),"CONCEPCION")</f>
        <v>CONCEPCION</v>
      </c>
      <c r="G1088" s="25" t="str">
        <f ca="1">IFERROR(__xludf.DUMMYFUNCTION("""COMPUTED_VALUE"""),"COMAS")</f>
        <v>COMAS</v>
      </c>
      <c r="H1088" s="25" t="str">
        <f ca="1">IFERROR(__xludf.DUMMYFUNCTION("""COMPUTED_VALUE"""),"RURAL")</f>
        <v>RURAL</v>
      </c>
      <c r="I1088" s="25" t="str">
        <f ca="1">IFERROR(__xludf.DUMMYFUNCTION("""COMPUTED_VALUE"""),"Prioridad 3")</f>
        <v>Prioridad 3</v>
      </c>
      <c r="J1088" s="43" t="s">
        <v>264</v>
      </c>
    </row>
    <row r="1089" spans="2:10">
      <c r="B1089" s="25" t="str">
        <f ca="1">IFERROR(__xludf.DUMMYFUNCTION("""COMPUTED_VALUE"""),"MUNICIPALIDAD DISTRITAL")</f>
        <v>MUNICIPALIDAD DISTRITAL</v>
      </c>
      <c r="C1089" s="25" t="str">
        <f ca="1">IFERROR(__xludf.DUMMYFUNCTION("""COMPUTED_VALUE"""),"MUNICIPALIDAD DISTRITAL DE HEROINAS TOLEDO")</f>
        <v>MUNICIPALIDAD DISTRITAL DE HEROINAS TOLEDO</v>
      </c>
      <c r="D1089" s="25" t="str">
        <f ca="1">IFERROR(__xludf.DUMMYFUNCTION("""COMPUTED_VALUE"""),"JUNÍN")</f>
        <v>JUNÍN</v>
      </c>
      <c r="E1089" s="25" t="str">
        <f ca="1">IFERROR(__xludf.DUMMYFUNCTION("""COMPUTED_VALUE"""),"JUNÍN")</f>
        <v>JUNÍN</v>
      </c>
      <c r="F1089" s="25" t="str">
        <f ca="1">IFERROR(__xludf.DUMMYFUNCTION("""COMPUTED_VALUE"""),"CONCEPCION")</f>
        <v>CONCEPCION</v>
      </c>
      <c r="G1089" s="25" t="str">
        <f ca="1">IFERROR(__xludf.DUMMYFUNCTION("""COMPUTED_VALUE"""),"HEROINAS TOLEDO")</f>
        <v>HEROINAS TOLEDO</v>
      </c>
      <c r="H1089" s="25" t="str">
        <f ca="1">IFERROR(__xludf.DUMMYFUNCTION("""COMPUTED_VALUE"""),"RURAL")</f>
        <v>RURAL</v>
      </c>
      <c r="I1089" s="25" t="str">
        <f ca="1">IFERROR(__xludf.DUMMYFUNCTION("""COMPUTED_VALUE"""),"Prioridad 5")</f>
        <v>Prioridad 5</v>
      </c>
      <c r="J1089" s="43" t="s">
        <v>264</v>
      </c>
    </row>
    <row r="1090" spans="2:10">
      <c r="B1090" s="25" t="str">
        <f ca="1">IFERROR(__xludf.DUMMYFUNCTION("""COMPUTED_VALUE"""),"MUNICIPALIDAD DISTRITAL")</f>
        <v>MUNICIPALIDAD DISTRITAL</v>
      </c>
      <c r="C1090" s="25" t="str">
        <f ca="1">IFERROR(__xludf.DUMMYFUNCTION("""COMPUTED_VALUE"""),"MUNICIPALIDAD DISTRITAL DE MANZANARES")</f>
        <v>MUNICIPALIDAD DISTRITAL DE MANZANARES</v>
      </c>
      <c r="D1090" s="25" t="str">
        <f ca="1">IFERROR(__xludf.DUMMYFUNCTION("""COMPUTED_VALUE"""),"JUNÍN")</f>
        <v>JUNÍN</v>
      </c>
      <c r="E1090" s="25" t="str">
        <f ca="1">IFERROR(__xludf.DUMMYFUNCTION("""COMPUTED_VALUE"""),"JUNÍN")</f>
        <v>JUNÍN</v>
      </c>
      <c r="F1090" s="25" t="str">
        <f ca="1">IFERROR(__xludf.DUMMYFUNCTION("""COMPUTED_VALUE"""),"CONCEPCION")</f>
        <v>CONCEPCION</v>
      </c>
      <c r="G1090" s="25" t="str">
        <f ca="1">IFERROR(__xludf.DUMMYFUNCTION("""COMPUTED_VALUE"""),"MANZANARES")</f>
        <v>MANZANARES</v>
      </c>
      <c r="H1090" s="25" t="str">
        <f ca="1">IFERROR(__xludf.DUMMYFUNCTION("""COMPUTED_VALUE"""),"RURAL")</f>
        <v>RURAL</v>
      </c>
      <c r="I1090" s="25" t="str">
        <f ca="1">IFERROR(__xludf.DUMMYFUNCTION("""COMPUTED_VALUE"""),"Prioridad 2")</f>
        <v>Prioridad 2</v>
      </c>
      <c r="J1090" s="43" t="s">
        <v>264</v>
      </c>
    </row>
    <row r="1091" spans="2:10">
      <c r="B1091" s="25" t="str">
        <f ca="1">IFERROR(__xludf.DUMMYFUNCTION("""COMPUTED_VALUE"""),"MUNICIPALIDAD DISTRITAL")</f>
        <v>MUNICIPALIDAD DISTRITAL</v>
      </c>
      <c r="C1091" s="25" t="str">
        <f ca="1">IFERROR(__xludf.DUMMYFUNCTION("""COMPUTED_VALUE"""),"MUNICIPALIDAD DISTRITAL DE MARISCAL CASTILLA EN CONCEPCION")</f>
        <v>MUNICIPALIDAD DISTRITAL DE MARISCAL CASTILLA EN CONCEPCION</v>
      </c>
      <c r="D1091" s="25" t="str">
        <f ca="1">IFERROR(__xludf.DUMMYFUNCTION("""COMPUTED_VALUE"""),"JUNÍN")</f>
        <v>JUNÍN</v>
      </c>
      <c r="E1091" s="25" t="str">
        <f ca="1">IFERROR(__xludf.DUMMYFUNCTION("""COMPUTED_VALUE"""),"JUNÍN")</f>
        <v>JUNÍN</v>
      </c>
      <c r="F1091" s="25" t="str">
        <f ca="1">IFERROR(__xludf.DUMMYFUNCTION("""COMPUTED_VALUE"""),"CONCEPCION")</f>
        <v>CONCEPCION</v>
      </c>
      <c r="G1091" s="25" t="str">
        <f ca="1">IFERROR(__xludf.DUMMYFUNCTION("""COMPUTED_VALUE"""),"MARISCAL CASTILLA")</f>
        <v>MARISCAL CASTILLA</v>
      </c>
      <c r="H1091" s="25" t="str">
        <f ca="1">IFERROR(__xludf.DUMMYFUNCTION("""COMPUTED_VALUE"""),"RURAL")</f>
        <v>RURAL</v>
      </c>
      <c r="I1091" s="25" t="str">
        <f ca="1">IFERROR(__xludf.DUMMYFUNCTION("""COMPUTED_VALUE"""),"Prioridad 3")</f>
        <v>Prioridad 3</v>
      </c>
      <c r="J1091" s="43" t="s">
        <v>264</v>
      </c>
    </row>
    <row r="1092" spans="2:10">
      <c r="B1092" s="25" t="str">
        <f ca="1">IFERROR(__xludf.DUMMYFUNCTION("""COMPUTED_VALUE"""),"MUNICIPALIDAD DISTRITAL")</f>
        <v>MUNICIPALIDAD DISTRITAL</v>
      </c>
      <c r="C1092" s="25" t="str">
        <f ca="1">IFERROR(__xludf.DUMMYFUNCTION("""COMPUTED_VALUE"""),"MUNICIPALIDAD DISTRITAL DE MATAHUASI")</f>
        <v>MUNICIPALIDAD DISTRITAL DE MATAHUASI</v>
      </c>
      <c r="D1092" s="25" t="str">
        <f ca="1">IFERROR(__xludf.DUMMYFUNCTION("""COMPUTED_VALUE"""),"JUNÍN")</f>
        <v>JUNÍN</v>
      </c>
      <c r="E1092" s="25" t="str">
        <f ca="1">IFERROR(__xludf.DUMMYFUNCTION("""COMPUTED_VALUE"""),"JUNÍN")</f>
        <v>JUNÍN</v>
      </c>
      <c r="F1092" s="25" t="str">
        <f ca="1">IFERROR(__xludf.DUMMYFUNCTION("""COMPUTED_VALUE"""),"CONCEPCION")</f>
        <v>CONCEPCION</v>
      </c>
      <c r="G1092" s="25" t="str">
        <f ca="1">IFERROR(__xludf.DUMMYFUNCTION("""COMPUTED_VALUE"""),"MATAHUASI")</f>
        <v>MATAHUASI</v>
      </c>
      <c r="H1092" s="25" t="str">
        <f ca="1">IFERROR(__xludf.DUMMYFUNCTION("""COMPUTED_VALUE"""),"URBANO")</f>
        <v>URBANO</v>
      </c>
      <c r="I1092" s="25" t="str">
        <f ca="1">IFERROR(__xludf.DUMMYFUNCTION("""COMPUTED_VALUE"""),"Prioridad 2")</f>
        <v>Prioridad 2</v>
      </c>
      <c r="J1092" s="43" t="s">
        <v>264</v>
      </c>
    </row>
    <row r="1093" spans="2:10">
      <c r="B1093" s="25" t="str">
        <f ca="1">IFERROR(__xludf.DUMMYFUNCTION("""COMPUTED_VALUE"""),"MUNICIPALIDAD DISTRITAL")</f>
        <v>MUNICIPALIDAD DISTRITAL</v>
      </c>
      <c r="C1093" s="25" t="str">
        <f ca="1">IFERROR(__xludf.DUMMYFUNCTION("""COMPUTED_VALUE"""),"MUNICIPALIDAD DISTRITAL DE MITO")</f>
        <v>MUNICIPALIDAD DISTRITAL DE MITO</v>
      </c>
      <c r="D1093" s="25" t="str">
        <f ca="1">IFERROR(__xludf.DUMMYFUNCTION("""COMPUTED_VALUE"""),"JUNÍN")</f>
        <v>JUNÍN</v>
      </c>
      <c r="E1093" s="25" t="str">
        <f ca="1">IFERROR(__xludf.DUMMYFUNCTION("""COMPUTED_VALUE"""),"JUNÍN")</f>
        <v>JUNÍN</v>
      </c>
      <c r="F1093" s="25" t="str">
        <f ca="1">IFERROR(__xludf.DUMMYFUNCTION("""COMPUTED_VALUE"""),"CONCEPCION")</f>
        <v>CONCEPCION</v>
      </c>
      <c r="G1093" s="25" t="str">
        <f ca="1">IFERROR(__xludf.DUMMYFUNCTION("""COMPUTED_VALUE"""),"MITO")</f>
        <v>MITO</v>
      </c>
      <c r="H1093" s="25" t="str">
        <f ca="1">IFERROR(__xludf.DUMMYFUNCTION("""COMPUTED_VALUE"""),"RURAL")</f>
        <v>RURAL</v>
      </c>
      <c r="I1093" s="25" t="str">
        <f ca="1">IFERROR(__xludf.DUMMYFUNCTION("""COMPUTED_VALUE"""),"Prioridad 4")</f>
        <v>Prioridad 4</v>
      </c>
      <c r="J1093" s="43" t="s">
        <v>264</v>
      </c>
    </row>
    <row r="1094" spans="2:10">
      <c r="B1094" s="25" t="str">
        <f ca="1">IFERROR(__xludf.DUMMYFUNCTION("""COMPUTED_VALUE"""),"MUNICIPALIDAD DISTRITAL")</f>
        <v>MUNICIPALIDAD DISTRITAL</v>
      </c>
      <c r="C1094" s="25" t="str">
        <f ca="1">IFERROR(__xludf.DUMMYFUNCTION("""COMPUTED_VALUE"""),"MUNICIPALIDAD DISTRITAL DE NUEVE DE JULIO")</f>
        <v>MUNICIPALIDAD DISTRITAL DE NUEVE DE JULIO</v>
      </c>
      <c r="D1094" s="25" t="str">
        <f ca="1">IFERROR(__xludf.DUMMYFUNCTION("""COMPUTED_VALUE"""),"JUNÍN")</f>
        <v>JUNÍN</v>
      </c>
      <c r="E1094" s="25" t="str">
        <f ca="1">IFERROR(__xludf.DUMMYFUNCTION("""COMPUTED_VALUE"""),"JUNÍN")</f>
        <v>JUNÍN</v>
      </c>
      <c r="F1094" s="25" t="str">
        <f ca="1">IFERROR(__xludf.DUMMYFUNCTION("""COMPUTED_VALUE"""),"CONCEPCION")</f>
        <v>CONCEPCION</v>
      </c>
      <c r="G1094" s="25" t="str">
        <f ca="1">IFERROR(__xludf.DUMMYFUNCTION("""COMPUTED_VALUE"""),"NUEVE DE JULIO")</f>
        <v>NUEVE DE JULIO</v>
      </c>
      <c r="H1094" s="25" t="str">
        <f ca="1">IFERROR(__xludf.DUMMYFUNCTION("""COMPUTED_VALUE"""),"URBANO")</f>
        <v>URBANO</v>
      </c>
      <c r="I1094" s="25" t="str">
        <f ca="1">IFERROR(__xludf.DUMMYFUNCTION("""COMPUTED_VALUE"""),"Prioridad 2")</f>
        <v>Prioridad 2</v>
      </c>
      <c r="J1094" s="43" t="s">
        <v>264</v>
      </c>
    </row>
    <row r="1095" spans="2:10">
      <c r="B1095" s="25" t="str">
        <f ca="1">IFERROR(__xludf.DUMMYFUNCTION("""COMPUTED_VALUE"""),"MUNICIPALIDAD DISTRITAL")</f>
        <v>MUNICIPALIDAD DISTRITAL</v>
      </c>
      <c r="C1095" s="25" t="str">
        <f ca="1">IFERROR(__xludf.DUMMYFUNCTION("""COMPUTED_VALUE"""),"MUNICIPALIDAD DISTRITAL DE ORCOTUNA")</f>
        <v>MUNICIPALIDAD DISTRITAL DE ORCOTUNA</v>
      </c>
      <c r="D1095" s="25" t="str">
        <f ca="1">IFERROR(__xludf.DUMMYFUNCTION("""COMPUTED_VALUE"""),"JUNÍN")</f>
        <v>JUNÍN</v>
      </c>
      <c r="E1095" s="25" t="str">
        <f ca="1">IFERROR(__xludf.DUMMYFUNCTION("""COMPUTED_VALUE"""),"JUNÍN")</f>
        <v>JUNÍN</v>
      </c>
      <c r="F1095" s="25" t="str">
        <f ca="1">IFERROR(__xludf.DUMMYFUNCTION("""COMPUTED_VALUE"""),"CONCEPCION")</f>
        <v>CONCEPCION</v>
      </c>
      <c r="G1095" s="25" t="str">
        <f ca="1">IFERROR(__xludf.DUMMYFUNCTION("""COMPUTED_VALUE"""),"ORCOTUNA")</f>
        <v>ORCOTUNA</v>
      </c>
      <c r="H1095" s="25" t="str">
        <f ca="1">IFERROR(__xludf.DUMMYFUNCTION("""COMPUTED_VALUE"""),"URBANO")</f>
        <v>URBANO</v>
      </c>
      <c r="I1095" s="25" t="str">
        <f ca="1">IFERROR(__xludf.DUMMYFUNCTION("""COMPUTED_VALUE"""),"Prioridad 2")</f>
        <v>Prioridad 2</v>
      </c>
      <c r="J1095" s="43" t="s">
        <v>264</v>
      </c>
    </row>
    <row r="1096" spans="2:10">
      <c r="B1096" s="25" t="str">
        <f ca="1">IFERROR(__xludf.DUMMYFUNCTION("""COMPUTED_VALUE"""),"MUNICIPALIDAD DISTRITAL")</f>
        <v>MUNICIPALIDAD DISTRITAL</v>
      </c>
      <c r="C1096" s="25" t="str">
        <f ca="1">IFERROR(__xludf.DUMMYFUNCTION("""COMPUTED_VALUE"""),"MUNICIPALIDAD DISTRITAL DE SAN JOSE DE QUERO")</f>
        <v>MUNICIPALIDAD DISTRITAL DE SAN JOSE DE QUERO</v>
      </c>
      <c r="D1096" s="25" t="str">
        <f ca="1">IFERROR(__xludf.DUMMYFUNCTION("""COMPUTED_VALUE"""),"JUNÍN")</f>
        <v>JUNÍN</v>
      </c>
      <c r="E1096" s="25" t="str">
        <f ca="1">IFERROR(__xludf.DUMMYFUNCTION("""COMPUTED_VALUE"""),"JUNÍN")</f>
        <v>JUNÍN</v>
      </c>
      <c r="F1096" s="25" t="str">
        <f ca="1">IFERROR(__xludf.DUMMYFUNCTION("""COMPUTED_VALUE"""),"CONCEPCION")</f>
        <v>CONCEPCION</v>
      </c>
      <c r="G1096" s="25" t="str">
        <f ca="1">IFERROR(__xludf.DUMMYFUNCTION("""COMPUTED_VALUE"""),"SAN JOSE DE QUERO")</f>
        <v>SAN JOSE DE QUERO</v>
      </c>
      <c r="H1096" s="25" t="str">
        <f ca="1">IFERROR(__xludf.DUMMYFUNCTION("""COMPUTED_VALUE"""),"RURAL")</f>
        <v>RURAL</v>
      </c>
      <c r="I1096" s="25" t="str">
        <f ca="1">IFERROR(__xludf.DUMMYFUNCTION("""COMPUTED_VALUE"""),"Prioridad 4")</f>
        <v>Prioridad 4</v>
      </c>
      <c r="J1096" s="43" t="s">
        <v>264</v>
      </c>
    </row>
    <row r="1097" spans="2:10">
      <c r="B1097" s="25" t="str">
        <f ca="1">IFERROR(__xludf.DUMMYFUNCTION("""COMPUTED_VALUE"""),"MUNICIPALIDAD DISTRITAL")</f>
        <v>MUNICIPALIDAD DISTRITAL</v>
      </c>
      <c r="C1097" s="25" t="str">
        <f ca="1">IFERROR(__xludf.DUMMYFUNCTION("""COMPUTED_VALUE"""),"MUNICIPALIDAD DISTRITAL DE SANTA ROSA DE OCOPA")</f>
        <v>MUNICIPALIDAD DISTRITAL DE SANTA ROSA DE OCOPA</v>
      </c>
      <c r="D1097" s="25" t="str">
        <f ca="1">IFERROR(__xludf.DUMMYFUNCTION("""COMPUTED_VALUE"""),"JUNÍN")</f>
        <v>JUNÍN</v>
      </c>
      <c r="E1097" s="25" t="str">
        <f ca="1">IFERROR(__xludf.DUMMYFUNCTION("""COMPUTED_VALUE"""),"JUNÍN")</f>
        <v>JUNÍN</v>
      </c>
      <c r="F1097" s="25" t="str">
        <f ca="1">IFERROR(__xludf.DUMMYFUNCTION("""COMPUTED_VALUE"""),"CONCEPCION")</f>
        <v>CONCEPCION</v>
      </c>
      <c r="G1097" s="25" t="str">
        <f ca="1">IFERROR(__xludf.DUMMYFUNCTION("""COMPUTED_VALUE"""),"SANTA ROSA DE OCOPA")</f>
        <v>SANTA ROSA DE OCOPA</v>
      </c>
      <c r="H1097" s="25" t="str">
        <f ca="1">IFERROR(__xludf.DUMMYFUNCTION("""COMPUTED_VALUE"""),"RURAL")</f>
        <v>RURAL</v>
      </c>
      <c r="I1097" s="25" t="str">
        <f ca="1">IFERROR(__xludf.DUMMYFUNCTION("""COMPUTED_VALUE"""),"Prioridad 2")</f>
        <v>Prioridad 2</v>
      </c>
      <c r="J1097" s="43" t="s">
        <v>264</v>
      </c>
    </row>
    <row r="1098" spans="2:10">
      <c r="B1098" s="25" t="str">
        <f ca="1">IFERROR(__xludf.DUMMYFUNCTION("""COMPUTED_VALUE"""),"MUNICIPALIDAD PROVINCIAL")</f>
        <v>MUNICIPALIDAD PROVINCIAL</v>
      </c>
      <c r="C1098" s="25" t="str">
        <f ca="1">IFERROR(__xludf.DUMMYFUNCTION("""COMPUTED_VALUE"""),"MUNICIPALIDAD PROVINCIAL DE HUANCAYO")</f>
        <v>MUNICIPALIDAD PROVINCIAL DE HUANCAYO</v>
      </c>
      <c r="D1098" s="25" t="str">
        <f ca="1">IFERROR(__xludf.DUMMYFUNCTION("""COMPUTED_VALUE"""),"JUNÍN")</f>
        <v>JUNÍN</v>
      </c>
      <c r="E1098" s="25" t="str">
        <f ca="1">IFERROR(__xludf.DUMMYFUNCTION("""COMPUTED_VALUE"""),"JUNÍN")</f>
        <v>JUNÍN</v>
      </c>
      <c r="F1098" s="25" t="str">
        <f ca="1">IFERROR(__xludf.DUMMYFUNCTION("""COMPUTED_VALUE"""),"HUANCAYO")</f>
        <v>HUANCAYO</v>
      </c>
      <c r="G1098" s="25" t="str">
        <f ca="1">IFERROR(__xludf.DUMMYFUNCTION("""COMPUTED_VALUE"""),"HUANCAYO")</f>
        <v>HUANCAYO</v>
      </c>
      <c r="H1098" s="25" t="str">
        <f ca="1">IFERROR(__xludf.DUMMYFUNCTION("""COMPUTED_VALUE"""),"URBANO")</f>
        <v>URBANO</v>
      </c>
      <c r="I1098" s="25" t="str">
        <f ca="1">IFERROR(__xludf.DUMMYFUNCTION("""COMPUTED_VALUE"""),"Prioridad 1")</f>
        <v>Prioridad 1</v>
      </c>
      <c r="J1098" s="43" t="s">
        <v>264</v>
      </c>
    </row>
    <row r="1099" spans="2:10">
      <c r="B1099" s="25" t="str">
        <f ca="1">IFERROR(__xludf.DUMMYFUNCTION("""COMPUTED_VALUE"""),"MUNICIPALIDAD DISTRITAL")</f>
        <v>MUNICIPALIDAD DISTRITAL</v>
      </c>
      <c r="C1099" s="25" t="str">
        <f ca="1">IFERROR(__xludf.DUMMYFUNCTION("""COMPUTED_VALUE"""),"MUNICIPALIDAD DISTRITAL DE CARHUACALLANGA")</f>
        <v>MUNICIPALIDAD DISTRITAL DE CARHUACALLANGA</v>
      </c>
      <c r="D1099" s="25" t="str">
        <f ca="1">IFERROR(__xludf.DUMMYFUNCTION("""COMPUTED_VALUE"""),"JUNÍN")</f>
        <v>JUNÍN</v>
      </c>
      <c r="E1099" s="25" t="str">
        <f ca="1">IFERROR(__xludf.DUMMYFUNCTION("""COMPUTED_VALUE"""),"JUNÍN")</f>
        <v>JUNÍN</v>
      </c>
      <c r="F1099" s="25" t="str">
        <f ca="1">IFERROR(__xludf.DUMMYFUNCTION("""COMPUTED_VALUE"""),"HUANCAYO")</f>
        <v>HUANCAYO</v>
      </c>
      <c r="G1099" s="25" t="str">
        <f ca="1">IFERROR(__xludf.DUMMYFUNCTION("""COMPUTED_VALUE"""),"CARHUACALLANGA")</f>
        <v>CARHUACALLANGA</v>
      </c>
      <c r="H1099" s="25" t="str">
        <f ca="1">IFERROR(__xludf.DUMMYFUNCTION("""COMPUTED_VALUE"""),"RURAL")</f>
        <v>RURAL</v>
      </c>
      <c r="I1099" s="25" t="str">
        <f ca="1">IFERROR(__xludf.DUMMYFUNCTION("""COMPUTED_VALUE"""),"Prioridad 5")</f>
        <v>Prioridad 5</v>
      </c>
      <c r="J1099" s="43" t="s">
        <v>264</v>
      </c>
    </row>
    <row r="1100" spans="2:10">
      <c r="B1100" s="25" t="str">
        <f ca="1">IFERROR(__xludf.DUMMYFUNCTION("""COMPUTED_VALUE"""),"MUNICIPALIDAD DISTRITAL")</f>
        <v>MUNICIPALIDAD DISTRITAL</v>
      </c>
      <c r="C1100" s="25" t="str">
        <f ca="1">IFERROR(__xludf.DUMMYFUNCTION("""COMPUTED_VALUE"""),"MUNICIPALIDAD DISTRITAL DE CHACAPAMPA")</f>
        <v>MUNICIPALIDAD DISTRITAL DE CHACAPAMPA</v>
      </c>
      <c r="D1100" s="25" t="str">
        <f ca="1">IFERROR(__xludf.DUMMYFUNCTION("""COMPUTED_VALUE"""),"JUNÍN")</f>
        <v>JUNÍN</v>
      </c>
      <c r="E1100" s="25" t="str">
        <f ca="1">IFERROR(__xludf.DUMMYFUNCTION("""COMPUTED_VALUE"""),"JUNÍN")</f>
        <v>JUNÍN</v>
      </c>
      <c r="F1100" s="25" t="str">
        <f ca="1">IFERROR(__xludf.DUMMYFUNCTION("""COMPUTED_VALUE"""),"HUANCAYO")</f>
        <v>HUANCAYO</v>
      </c>
      <c r="G1100" s="25" t="str">
        <f ca="1">IFERROR(__xludf.DUMMYFUNCTION("""COMPUTED_VALUE"""),"CHACAPAMPA")</f>
        <v>CHACAPAMPA</v>
      </c>
      <c r="H1100" s="25" t="str">
        <f ca="1">IFERROR(__xludf.DUMMYFUNCTION("""COMPUTED_VALUE"""),"RURAL")</f>
        <v>RURAL</v>
      </c>
      <c r="I1100" s="25" t="str">
        <f ca="1">IFERROR(__xludf.DUMMYFUNCTION("""COMPUTED_VALUE"""),"Prioridad 4")</f>
        <v>Prioridad 4</v>
      </c>
      <c r="J1100" s="43" t="s">
        <v>264</v>
      </c>
    </row>
    <row r="1101" spans="2:10">
      <c r="B1101" s="25" t="str">
        <f ca="1">IFERROR(__xludf.DUMMYFUNCTION("""COMPUTED_VALUE"""),"MUNICIPALIDAD DISTRITAL")</f>
        <v>MUNICIPALIDAD DISTRITAL</v>
      </c>
      <c r="C1101" s="25" t="str">
        <f ca="1">IFERROR(__xludf.DUMMYFUNCTION("""COMPUTED_VALUE"""),"MUNICIPALIDAD DISTRITAL DE CHICCHE")</f>
        <v>MUNICIPALIDAD DISTRITAL DE CHICCHE</v>
      </c>
      <c r="D1101" s="25" t="str">
        <f ca="1">IFERROR(__xludf.DUMMYFUNCTION("""COMPUTED_VALUE"""),"JUNÍN")</f>
        <v>JUNÍN</v>
      </c>
      <c r="E1101" s="25" t="str">
        <f ca="1">IFERROR(__xludf.DUMMYFUNCTION("""COMPUTED_VALUE"""),"JUNÍN")</f>
        <v>JUNÍN</v>
      </c>
      <c r="F1101" s="25" t="str">
        <f ca="1">IFERROR(__xludf.DUMMYFUNCTION("""COMPUTED_VALUE"""),"HUANCAYO")</f>
        <v>HUANCAYO</v>
      </c>
      <c r="G1101" s="25" t="str">
        <f ca="1">IFERROR(__xludf.DUMMYFUNCTION("""COMPUTED_VALUE"""),"CHICCHE")</f>
        <v>CHICCHE</v>
      </c>
      <c r="H1101" s="25" t="str">
        <f ca="1">IFERROR(__xludf.DUMMYFUNCTION("""COMPUTED_VALUE"""),"RURAL")</f>
        <v>RURAL</v>
      </c>
      <c r="I1101" s="25" t="str">
        <f ca="1">IFERROR(__xludf.DUMMYFUNCTION("""COMPUTED_VALUE"""),"Prioridad 2")</f>
        <v>Prioridad 2</v>
      </c>
      <c r="J1101" s="43" t="s">
        <v>264</v>
      </c>
    </row>
    <row r="1102" spans="2:10">
      <c r="B1102" s="25" t="str">
        <f ca="1">IFERROR(__xludf.DUMMYFUNCTION("""COMPUTED_VALUE"""),"MUNICIPALIDAD DISTRITAL")</f>
        <v>MUNICIPALIDAD DISTRITAL</v>
      </c>
      <c r="C1102" s="25" t="str">
        <f ca="1">IFERROR(__xludf.DUMMYFUNCTION("""COMPUTED_VALUE"""),"MUNICIPALIDAD DISTRITAL DE CHILCA EN HUANCAYO")</f>
        <v>MUNICIPALIDAD DISTRITAL DE CHILCA EN HUANCAYO</v>
      </c>
      <c r="D1102" s="25" t="str">
        <f ca="1">IFERROR(__xludf.DUMMYFUNCTION("""COMPUTED_VALUE"""),"JUNÍN")</f>
        <v>JUNÍN</v>
      </c>
      <c r="E1102" s="25" t="str">
        <f ca="1">IFERROR(__xludf.DUMMYFUNCTION("""COMPUTED_VALUE"""),"JUNÍN")</f>
        <v>JUNÍN</v>
      </c>
      <c r="F1102" s="25" t="str">
        <f ca="1">IFERROR(__xludf.DUMMYFUNCTION("""COMPUTED_VALUE"""),"HUANCAYO")</f>
        <v>HUANCAYO</v>
      </c>
      <c r="G1102" s="25" t="str">
        <f ca="1">IFERROR(__xludf.DUMMYFUNCTION("""COMPUTED_VALUE"""),"CHILCA")</f>
        <v>CHILCA</v>
      </c>
      <c r="H1102" s="25" t="str">
        <f ca="1">IFERROR(__xludf.DUMMYFUNCTION("""COMPUTED_VALUE"""),"URBANO")</f>
        <v>URBANO</v>
      </c>
      <c r="I1102" s="25" t="str">
        <f ca="1">IFERROR(__xludf.DUMMYFUNCTION("""COMPUTED_VALUE"""),"Prioridad 1")</f>
        <v>Prioridad 1</v>
      </c>
      <c r="J1102" s="43" t="s">
        <v>264</v>
      </c>
    </row>
    <row r="1103" spans="2:10">
      <c r="B1103" s="25" t="str">
        <f ca="1">IFERROR(__xludf.DUMMYFUNCTION("""COMPUTED_VALUE"""),"MUNICIPALIDAD DISTRITAL")</f>
        <v>MUNICIPALIDAD DISTRITAL</v>
      </c>
      <c r="C1103" s="25" t="str">
        <f ca="1">IFERROR(__xludf.DUMMYFUNCTION("""COMPUTED_VALUE"""),"MUNICIPALIDAD DISTRITAL DE CHONGOS ALTO")</f>
        <v>MUNICIPALIDAD DISTRITAL DE CHONGOS ALTO</v>
      </c>
      <c r="D1103" s="25" t="str">
        <f ca="1">IFERROR(__xludf.DUMMYFUNCTION("""COMPUTED_VALUE"""),"JUNÍN")</f>
        <v>JUNÍN</v>
      </c>
      <c r="E1103" s="25" t="str">
        <f ca="1">IFERROR(__xludf.DUMMYFUNCTION("""COMPUTED_VALUE"""),"JUNÍN")</f>
        <v>JUNÍN</v>
      </c>
      <c r="F1103" s="25" t="str">
        <f ca="1">IFERROR(__xludf.DUMMYFUNCTION("""COMPUTED_VALUE"""),"HUANCAYO")</f>
        <v>HUANCAYO</v>
      </c>
      <c r="G1103" s="25" t="str">
        <f ca="1">IFERROR(__xludf.DUMMYFUNCTION("""COMPUTED_VALUE"""),"CHONGOS ALTO")</f>
        <v>CHONGOS ALTO</v>
      </c>
      <c r="H1103" s="25" t="str">
        <f ca="1">IFERROR(__xludf.DUMMYFUNCTION("""COMPUTED_VALUE"""),"RURAL")</f>
        <v>RURAL</v>
      </c>
      <c r="I1103" s="25" t="str">
        <f ca="1">IFERROR(__xludf.DUMMYFUNCTION("""COMPUTED_VALUE"""),"Prioridad 5")</f>
        <v>Prioridad 5</v>
      </c>
      <c r="J1103" s="43" t="s">
        <v>264</v>
      </c>
    </row>
    <row r="1104" spans="2:10">
      <c r="B1104" s="25" t="str">
        <f ca="1">IFERROR(__xludf.DUMMYFUNCTION("""COMPUTED_VALUE"""),"MUNICIPALIDAD DISTRITAL")</f>
        <v>MUNICIPALIDAD DISTRITAL</v>
      </c>
      <c r="C1104" s="25" t="str">
        <f ca="1">IFERROR(__xludf.DUMMYFUNCTION("""COMPUTED_VALUE"""),"MUNICIPALIDAD DISTRITAL DE CHUPURO")</f>
        <v>MUNICIPALIDAD DISTRITAL DE CHUPURO</v>
      </c>
      <c r="D1104" s="25" t="str">
        <f ca="1">IFERROR(__xludf.DUMMYFUNCTION("""COMPUTED_VALUE"""),"JUNÍN")</f>
        <v>JUNÍN</v>
      </c>
      <c r="E1104" s="25" t="str">
        <f ca="1">IFERROR(__xludf.DUMMYFUNCTION("""COMPUTED_VALUE"""),"JUNÍN")</f>
        <v>JUNÍN</v>
      </c>
      <c r="F1104" s="25" t="str">
        <f ca="1">IFERROR(__xludf.DUMMYFUNCTION("""COMPUTED_VALUE"""),"HUANCAYO")</f>
        <v>HUANCAYO</v>
      </c>
      <c r="G1104" s="25" t="str">
        <f ca="1">IFERROR(__xludf.DUMMYFUNCTION("""COMPUTED_VALUE"""),"CHUPURO")</f>
        <v>CHUPURO</v>
      </c>
      <c r="H1104" s="25" t="str">
        <f ca="1">IFERROR(__xludf.DUMMYFUNCTION("""COMPUTED_VALUE"""),"RURAL")</f>
        <v>RURAL</v>
      </c>
      <c r="I1104" s="25" t="str">
        <f ca="1">IFERROR(__xludf.DUMMYFUNCTION("""COMPUTED_VALUE"""),"Prioridad 3")</f>
        <v>Prioridad 3</v>
      </c>
      <c r="J1104" s="43" t="s">
        <v>264</v>
      </c>
    </row>
    <row r="1105" spans="2:10">
      <c r="B1105" s="25" t="str">
        <f ca="1">IFERROR(__xludf.DUMMYFUNCTION("""COMPUTED_VALUE"""),"MUNICIPALIDAD DISTRITAL")</f>
        <v>MUNICIPALIDAD DISTRITAL</v>
      </c>
      <c r="C1105" s="25" t="str">
        <f ca="1">IFERROR(__xludf.DUMMYFUNCTION("""COMPUTED_VALUE"""),"MUNICIPALIDAD DISTRITAL DE COLCA EN HUANCAYO")</f>
        <v>MUNICIPALIDAD DISTRITAL DE COLCA EN HUANCAYO</v>
      </c>
      <c r="D1105" s="25" t="str">
        <f ca="1">IFERROR(__xludf.DUMMYFUNCTION("""COMPUTED_VALUE"""),"JUNÍN")</f>
        <v>JUNÍN</v>
      </c>
      <c r="E1105" s="25" t="str">
        <f ca="1">IFERROR(__xludf.DUMMYFUNCTION("""COMPUTED_VALUE"""),"JUNÍN")</f>
        <v>JUNÍN</v>
      </c>
      <c r="F1105" s="25" t="str">
        <f ca="1">IFERROR(__xludf.DUMMYFUNCTION("""COMPUTED_VALUE"""),"HUANCAYO")</f>
        <v>HUANCAYO</v>
      </c>
      <c r="G1105" s="25" t="str">
        <f ca="1">IFERROR(__xludf.DUMMYFUNCTION("""COMPUTED_VALUE"""),"COLCA")</f>
        <v>COLCA</v>
      </c>
      <c r="H1105" s="25" t="str">
        <f ca="1">IFERROR(__xludf.DUMMYFUNCTION("""COMPUTED_VALUE"""),"RURAL")</f>
        <v>RURAL</v>
      </c>
      <c r="I1105" s="25" t="str">
        <f ca="1">IFERROR(__xludf.DUMMYFUNCTION("""COMPUTED_VALUE"""),"Prioridad 5")</f>
        <v>Prioridad 5</v>
      </c>
      <c r="J1105" s="43" t="s">
        <v>264</v>
      </c>
    </row>
    <row r="1106" spans="2:10">
      <c r="B1106" s="25" t="str">
        <f ca="1">IFERROR(__xludf.DUMMYFUNCTION("""COMPUTED_VALUE"""),"MUNICIPALIDAD DISTRITAL")</f>
        <v>MUNICIPALIDAD DISTRITAL</v>
      </c>
      <c r="C1106" s="25" t="str">
        <f ca="1">IFERROR(__xludf.DUMMYFUNCTION("""COMPUTED_VALUE"""),"MUNICIPALIDAD DISTRITAL DE CULLHUAS")</f>
        <v>MUNICIPALIDAD DISTRITAL DE CULLHUAS</v>
      </c>
      <c r="D1106" s="25" t="str">
        <f ca="1">IFERROR(__xludf.DUMMYFUNCTION("""COMPUTED_VALUE"""),"JUNÍN")</f>
        <v>JUNÍN</v>
      </c>
      <c r="E1106" s="25" t="str">
        <f ca="1">IFERROR(__xludf.DUMMYFUNCTION("""COMPUTED_VALUE"""),"JUNÍN")</f>
        <v>JUNÍN</v>
      </c>
      <c r="F1106" s="25" t="str">
        <f ca="1">IFERROR(__xludf.DUMMYFUNCTION("""COMPUTED_VALUE"""),"HUANCAYO")</f>
        <v>HUANCAYO</v>
      </c>
      <c r="G1106" s="25" t="str">
        <f ca="1">IFERROR(__xludf.DUMMYFUNCTION("""COMPUTED_VALUE"""),"CULLHUAS")</f>
        <v>CULLHUAS</v>
      </c>
      <c r="H1106" s="25" t="str">
        <f ca="1">IFERROR(__xludf.DUMMYFUNCTION("""COMPUTED_VALUE"""),"RURAL")</f>
        <v>RURAL</v>
      </c>
      <c r="I1106" s="25" t="str">
        <f ca="1">IFERROR(__xludf.DUMMYFUNCTION("""COMPUTED_VALUE"""),"Prioridad 2")</f>
        <v>Prioridad 2</v>
      </c>
      <c r="J1106" s="43" t="s">
        <v>264</v>
      </c>
    </row>
    <row r="1107" spans="2:10">
      <c r="B1107" s="25" t="str">
        <f ca="1">IFERROR(__xludf.DUMMYFUNCTION("""COMPUTED_VALUE"""),"MUNICIPALIDAD DISTRITAL")</f>
        <v>MUNICIPALIDAD DISTRITAL</v>
      </c>
      <c r="C1107" s="25" t="str">
        <f ca="1">IFERROR(__xludf.DUMMYFUNCTION("""COMPUTED_VALUE"""),"MUNICIPALIDAD DISTRITAL DE EL TAMBO")</f>
        <v>MUNICIPALIDAD DISTRITAL DE EL TAMBO</v>
      </c>
      <c r="D1107" s="25" t="str">
        <f ca="1">IFERROR(__xludf.DUMMYFUNCTION("""COMPUTED_VALUE"""),"JUNÍN")</f>
        <v>JUNÍN</v>
      </c>
      <c r="E1107" s="25" t="str">
        <f ca="1">IFERROR(__xludf.DUMMYFUNCTION("""COMPUTED_VALUE"""),"JUNÍN")</f>
        <v>JUNÍN</v>
      </c>
      <c r="F1107" s="25" t="str">
        <f ca="1">IFERROR(__xludf.DUMMYFUNCTION("""COMPUTED_VALUE"""),"HUANCAYO")</f>
        <v>HUANCAYO</v>
      </c>
      <c r="G1107" s="25" t="str">
        <f ca="1">IFERROR(__xludf.DUMMYFUNCTION("""COMPUTED_VALUE"""),"EL TAMBO")</f>
        <v>EL TAMBO</v>
      </c>
      <c r="H1107" s="25" t="str">
        <f ca="1">IFERROR(__xludf.DUMMYFUNCTION("""COMPUTED_VALUE"""),"URBANO")</f>
        <v>URBANO</v>
      </c>
      <c r="I1107" s="25" t="str">
        <f ca="1">IFERROR(__xludf.DUMMYFUNCTION("""COMPUTED_VALUE"""),"Prioridad 1")</f>
        <v>Prioridad 1</v>
      </c>
      <c r="J1107" s="43" t="s">
        <v>264</v>
      </c>
    </row>
    <row r="1108" spans="2:10">
      <c r="B1108" s="25" t="str">
        <f ca="1">IFERROR(__xludf.DUMMYFUNCTION("""COMPUTED_VALUE"""),"MUNICIPALIDAD DISTRITAL")</f>
        <v>MUNICIPALIDAD DISTRITAL</v>
      </c>
      <c r="C1108" s="25" t="str">
        <f ca="1">IFERROR(__xludf.DUMMYFUNCTION("""COMPUTED_VALUE"""),"MUNICIPALIDAD DISTRITAL DE HUACRAPUQUIO")</f>
        <v>MUNICIPALIDAD DISTRITAL DE HUACRAPUQUIO</v>
      </c>
      <c r="D1108" s="25" t="str">
        <f ca="1">IFERROR(__xludf.DUMMYFUNCTION("""COMPUTED_VALUE"""),"JUNÍN")</f>
        <v>JUNÍN</v>
      </c>
      <c r="E1108" s="25" t="str">
        <f ca="1">IFERROR(__xludf.DUMMYFUNCTION("""COMPUTED_VALUE"""),"JUNÍN")</f>
        <v>JUNÍN</v>
      </c>
      <c r="F1108" s="25" t="str">
        <f ca="1">IFERROR(__xludf.DUMMYFUNCTION("""COMPUTED_VALUE"""),"HUANCAYO")</f>
        <v>HUANCAYO</v>
      </c>
      <c r="G1108" s="25" t="str">
        <f ca="1">IFERROR(__xludf.DUMMYFUNCTION("""COMPUTED_VALUE"""),"HUACRAPUQUIO")</f>
        <v>HUACRAPUQUIO</v>
      </c>
      <c r="H1108" s="25" t="str">
        <f ca="1">IFERROR(__xludf.DUMMYFUNCTION("""COMPUTED_VALUE"""),"RURAL")</f>
        <v>RURAL</v>
      </c>
      <c r="I1108" s="25" t="str">
        <f ca="1">IFERROR(__xludf.DUMMYFUNCTION("""COMPUTED_VALUE"""),"Prioridad 2")</f>
        <v>Prioridad 2</v>
      </c>
      <c r="J1108" s="43" t="s">
        <v>264</v>
      </c>
    </row>
    <row r="1109" spans="2:10">
      <c r="B1109" s="25" t="str">
        <f ca="1">IFERROR(__xludf.DUMMYFUNCTION("""COMPUTED_VALUE"""),"MUNICIPALIDAD DISTRITAL")</f>
        <v>MUNICIPALIDAD DISTRITAL</v>
      </c>
      <c r="C1109" s="25" t="str">
        <f ca="1">IFERROR(__xludf.DUMMYFUNCTION("""COMPUTED_VALUE"""),"MUNICIPALIDAD DISTRITAL DE HUALHUAS")</f>
        <v>MUNICIPALIDAD DISTRITAL DE HUALHUAS</v>
      </c>
      <c r="D1109" s="25" t="str">
        <f ca="1">IFERROR(__xludf.DUMMYFUNCTION("""COMPUTED_VALUE"""),"JUNÍN")</f>
        <v>JUNÍN</v>
      </c>
      <c r="E1109" s="25" t="str">
        <f ca="1">IFERROR(__xludf.DUMMYFUNCTION("""COMPUTED_VALUE"""),"JUNÍN")</f>
        <v>JUNÍN</v>
      </c>
      <c r="F1109" s="25" t="str">
        <f ca="1">IFERROR(__xludf.DUMMYFUNCTION("""COMPUTED_VALUE"""),"HUANCAYO")</f>
        <v>HUANCAYO</v>
      </c>
      <c r="G1109" s="25" t="str">
        <f ca="1">IFERROR(__xludf.DUMMYFUNCTION("""COMPUTED_VALUE"""),"HUALHUAS")</f>
        <v>HUALHUAS</v>
      </c>
      <c r="H1109" s="25" t="str">
        <f ca="1">IFERROR(__xludf.DUMMYFUNCTION("""COMPUTED_VALUE"""),"URBANO")</f>
        <v>URBANO</v>
      </c>
      <c r="I1109" s="25" t="str">
        <f ca="1">IFERROR(__xludf.DUMMYFUNCTION("""COMPUTED_VALUE"""),"Prioridad 1")</f>
        <v>Prioridad 1</v>
      </c>
      <c r="J1109" s="43" t="s">
        <v>264</v>
      </c>
    </row>
    <row r="1110" spans="2:10">
      <c r="B1110" s="25" t="str">
        <f ca="1">IFERROR(__xludf.DUMMYFUNCTION("""COMPUTED_VALUE"""),"MUNICIPALIDAD DISTRITAL")</f>
        <v>MUNICIPALIDAD DISTRITAL</v>
      </c>
      <c r="C1110" s="25" t="str">
        <f ca="1">IFERROR(__xludf.DUMMYFUNCTION("""COMPUTED_VALUE"""),"MUNICIPALIDAD DISTRITAL DE HUANCAN")</f>
        <v>MUNICIPALIDAD DISTRITAL DE HUANCAN</v>
      </c>
      <c r="D1110" s="25" t="str">
        <f ca="1">IFERROR(__xludf.DUMMYFUNCTION("""COMPUTED_VALUE"""),"JUNÍN")</f>
        <v>JUNÍN</v>
      </c>
      <c r="E1110" s="25" t="str">
        <f ca="1">IFERROR(__xludf.DUMMYFUNCTION("""COMPUTED_VALUE"""),"JUNÍN")</f>
        <v>JUNÍN</v>
      </c>
      <c r="F1110" s="25" t="str">
        <f ca="1">IFERROR(__xludf.DUMMYFUNCTION("""COMPUTED_VALUE"""),"HUANCAYO")</f>
        <v>HUANCAYO</v>
      </c>
      <c r="G1110" s="25" t="str">
        <f ca="1">IFERROR(__xludf.DUMMYFUNCTION("""COMPUTED_VALUE"""),"HUANCAN")</f>
        <v>HUANCAN</v>
      </c>
      <c r="H1110" s="25" t="str">
        <f ca="1">IFERROR(__xludf.DUMMYFUNCTION("""COMPUTED_VALUE"""),"URBANO")</f>
        <v>URBANO</v>
      </c>
      <c r="I1110" s="25" t="str">
        <f ca="1">IFERROR(__xludf.DUMMYFUNCTION("""COMPUTED_VALUE"""),"Prioridad 2")</f>
        <v>Prioridad 2</v>
      </c>
      <c r="J1110" s="43" t="s">
        <v>264</v>
      </c>
    </row>
    <row r="1111" spans="2:10">
      <c r="B1111" s="25" t="str">
        <f ca="1">IFERROR(__xludf.DUMMYFUNCTION("""COMPUTED_VALUE"""),"MUNICIPALIDAD DISTRITAL")</f>
        <v>MUNICIPALIDAD DISTRITAL</v>
      </c>
      <c r="C1111" s="25" t="str">
        <f ca="1">IFERROR(__xludf.DUMMYFUNCTION("""COMPUTED_VALUE"""),"MUNICIPALIDAD DISTRITAL DE HUASICANCHA")</f>
        <v>MUNICIPALIDAD DISTRITAL DE HUASICANCHA</v>
      </c>
      <c r="D1111" s="25" t="str">
        <f ca="1">IFERROR(__xludf.DUMMYFUNCTION("""COMPUTED_VALUE"""),"JUNÍN")</f>
        <v>JUNÍN</v>
      </c>
      <c r="E1111" s="25" t="str">
        <f ca="1">IFERROR(__xludf.DUMMYFUNCTION("""COMPUTED_VALUE"""),"JUNÍN")</f>
        <v>JUNÍN</v>
      </c>
      <c r="F1111" s="25" t="str">
        <f ca="1">IFERROR(__xludf.DUMMYFUNCTION("""COMPUTED_VALUE"""),"HUANCAYO")</f>
        <v>HUANCAYO</v>
      </c>
      <c r="G1111" s="25" t="str">
        <f ca="1">IFERROR(__xludf.DUMMYFUNCTION("""COMPUTED_VALUE"""),"HUASICANCHA")</f>
        <v>HUASICANCHA</v>
      </c>
      <c r="H1111" s="25" t="str">
        <f ca="1">IFERROR(__xludf.DUMMYFUNCTION("""COMPUTED_VALUE"""),"RURAL")</f>
        <v>RURAL</v>
      </c>
      <c r="I1111" s="25" t="str">
        <f ca="1">IFERROR(__xludf.DUMMYFUNCTION("""COMPUTED_VALUE"""),"Prioridad 4")</f>
        <v>Prioridad 4</v>
      </c>
      <c r="J1111" s="43" t="s">
        <v>264</v>
      </c>
    </row>
    <row r="1112" spans="2:10">
      <c r="B1112" s="25" t="str">
        <f ca="1">IFERROR(__xludf.DUMMYFUNCTION("""COMPUTED_VALUE"""),"MUNICIPALIDAD DISTRITAL")</f>
        <v>MUNICIPALIDAD DISTRITAL</v>
      </c>
      <c r="C1112" s="25" t="str">
        <f ca="1">IFERROR(__xludf.DUMMYFUNCTION("""COMPUTED_VALUE"""),"MUNICIPALIDAD DISTRITAL DE HUAYUCACHI")</f>
        <v>MUNICIPALIDAD DISTRITAL DE HUAYUCACHI</v>
      </c>
      <c r="D1112" s="25" t="str">
        <f ca="1">IFERROR(__xludf.DUMMYFUNCTION("""COMPUTED_VALUE"""),"JUNÍN")</f>
        <v>JUNÍN</v>
      </c>
      <c r="E1112" s="25" t="str">
        <f ca="1">IFERROR(__xludf.DUMMYFUNCTION("""COMPUTED_VALUE"""),"JUNÍN")</f>
        <v>JUNÍN</v>
      </c>
      <c r="F1112" s="25" t="str">
        <f ca="1">IFERROR(__xludf.DUMMYFUNCTION("""COMPUTED_VALUE"""),"HUANCAYO")</f>
        <v>HUANCAYO</v>
      </c>
      <c r="G1112" s="25" t="str">
        <f ca="1">IFERROR(__xludf.DUMMYFUNCTION("""COMPUTED_VALUE"""),"HUAYUCACHI")</f>
        <v>HUAYUCACHI</v>
      </c>
      <c r="H1112" s="25" t="str">
        <f ca="1">IFERROR(__xludf.DUMMYFUNCTION("""COMPUTED_VALUE"""),"URBANO")</f>
        <v>URBANO</v>
      </c>
      <c r="I1112" s="25" t="str">
        <f ca="1">IFERROR(__xludf.DUMMYFUNCTION("""COMPUTED_VALUE"""),"Prioridad 3")</f>
        <v>Prioridad 3</v>
      </c>
      <c r="J1112" s="43" t="s">
        <v>264</v>
      </c>
    </row>
    <row r="1113" spans="2:10">
      <c r="B1113" s="25" t="str">
        <f ca="1">IFERROR(__xludf.DUMMYFUNCTION("""COMPUTED_VALUE"""),"MUNICIPALIDAD DISTRITAL")</f>
        <v>MUNICIPALIDAD DISTRITAL</v>
      </c>
      <c r="C1113" s="25" t="str">
        <f ca="1">IFERROR(__xludf.DUMMYFUNCTION("""COMPUTED_VALUE"""),"MUNICIPALIDAD DISTRITAL DE INGENIO")</f>
        <v>MUNICIPALIDAD DISTRITAL DE INGENIO</v>
      </c>
      <c r="D1113" s="25" t="str">
        <f ca="1">IFERROR(__xludf.DUMMYFUNCTION("""COMPUTED_VALUE"""),"JUNÍN")</f>
        <v>JUNÍN</v>
      </c>
      <c r="E1113" s="25" t="str">
        <f ca="1">IFERROR(__xludf.DUMMYFUNCTION("""COMPUTED_VALUE"""),"JUNÍN")</f>
        <v>JUNÍN</v>
      </c>
      <c r="F1113" s="25" t="str">
        <f ca="1">IFERROR(__xludf.DUMMYFUNCTION("""COMPUTED_VALUE"""),"HUANCAYO")</f>
        <v>HUANCAYO</v>
      </c>
      <c r="G1113" s="25" t="str">
        <f ca="1">IFERROR(__xludf.DUMMYFUNCTION("""COMPUTED_VALUE"""),"INGENIO")</f>
        <v>INGENIO</v>
      </c>
      <c r="H1113" s="25" t="str">
        <f ca="1">IFERROR(__xludf.DUMMYFUNCTION("""COMPUTED_VALUE"""),"RURAL")</f>
        <v>RURAL</v>
      </c>
      <c r="I1113" s="25" t="str">
        <f ca="1">IFERROR(__xludf.DUMMYFUNCTION("""COMPUTED_VALUE"""),"Prioridad 2")</f>
        <v>Prioridad 2</v>
      </c>
      <c r="J1113" s="43" t="s">
        <v>264</v>
      </c>
    </row>
    <row r="1114" spans="2:10">
      <c r="B1114" s="25" t="str">
        <f ca="1">IFERROR(__xludf.DUMMYFUNCTION("""COMPUTED_VALUE"""),"MUNICIPALIDAD DISTRITAL")</f>
        <v>MUNICIPALIDAD DISTRITAL</v>
      </c>
      <c r="C1114" s="25" t="str">
        <f ca="1">IFERROR(__xludf.DUMMYFUNCTION("""COMPUTED_VALUE"""),"MUNICIPALIDAD DISTRITAL DE PARIAHUANCA EN HUANCAYO")</f>
        <v>MUNICIPALIDAD DISTRITAL DE PARIAHUANCA EN HUANCAYO</v>
      </c>
      <c r="D1114" s="25" t="str">
        <f ca="1">IFERROR(__xludf.DUMMYFUNCTION("""COMPUTED_VALUE"""),"JUNÍN")</f>
        <v>JUNÍN</v>
      </c>
      <c r="E1114" s="25" t="str">
        <f ca="1">IFERROR(__xludf.DUMMYFUNCTION("""COMPUTED_VALUE"""),"JUNÍN")</f>
        <v>JUNÍN</v>
      </c>
      <c r="F1114" s="25" t="str">
        <f ca="1">IFERROR(__xludf.DUMMYFUNCTION("""COMPUTED_VALUE"""),"HUANCAYO")</f>
        <v>HUANCAYO</v>
      </c>
      <c r="G1114" s="25" t="str">
        <f ca="1">IFERROR(__xludf.DUMMYFUNCTION("""COMPUTED_VALUE"""),"PARIAHUANCA")</f>
        <v>PARIAHUANCA</v>
      </c>
      <c r="H1114" s="25" t="str">
        <f ca="1">IFERROR(__xludf.DUMMYFUNCTION("""COMPUTED_VALUE"""),"RURAL")</f>
        <v>RURAL</v>
      </c>
      <c r="I1114" s="25" t="str">
        <f ca="1">IFERROR(__xludf.DUMMYFUNCTION("""COMPUTED_VALUE"""),"Prioridad 4")</f>
        <v>Prioridad 4</v>
      </c>
      <c r="J1114" s="43" t="s">
        <v>264</v>
      </c>
    </row>
    <row r="1115" spans="2:10">
      <c r="B1115" s="25" t="str">
        <f ca="1">IFERROR(__xludf.DUMMYFUNCTION("""COMPUTED_VALUE"""),"MUNICIPALIDAD DISTRITAL")</f>
        <v>MUNICIPALIDAD DISTRITAL</v>
      </c>
      <c r="C1115" s="25" t="str">
        <f ca="1">IFERROR(__xludf.DUMMYFUNCTION("""COMPUTED_VALUE"""),"MUNICIPALIDAD DISTRITAL DE PILCOMAYO")</f>
        <v>MUNICIPALIDAD DISTRITAL DE PILCOMAYO</v>
      </c>
      <c r="D1115" s="25" t="str">
        <f ca="1">IFERROR(__xludf.DUMMYFUNCTION("""COMPUTED_VALUE"""),"JUNÍN")</f>
        <v>JUNÍN</v>
      </c>
      <c r="E1115" s="25" t="str">
        <f ca="1">IFERROR(__xludf.DUMMYFUNCTION("""COMPUTED_VALUE"""),"JUNÍN")</f>
        <v>JUNÍN</v>
      </c>
      <c r="F1115" s="25" t="str">
        <f ca="1">IFERROR(__xludf.DUMMYFUNCTION("""COMPUTED_VALUE"""),"HUANCAYO")</f>
        <v>HUANCAYO</v>
      </c>
      <c r="G1115" s="25" t="str">
        <f ca="1">IFERROR(__xludf.DUMMYFUNCTION("""COMPUTED_VALUE"""),"PILCOMAYO")</f>
        <v>PILCOMAYO</v>
      </c>
      <c r="H1115" s="25" t="str">
        <f ca="1">IFERROR(__xludf.DUMMYFUNCTION("""COMPUTED_VALUE"""),"URBANO")</f>
        <v>URBANO</v>
      </c>
      <c r="I1115" s="25" t="str">
        <f ca="1">IFERROR(__xludf.DUMMYFUNCTION("""COMPUTED_VALUE"""),"Prioridad 1")</f>
        <v>Prioridad 1</v>
      </c>
      <c r="J1115" s="43" t="s">
        <v>264</v>
      </c>
    </row>
    <row r="1116" spans="2:10">
      <c r="B1116" s="25" t="str">
        <f ca="1">IFERROR(__xludf.DUMMYFUNCTION("""COMPUTED_VALUE"""),"MUNICIPALIDAD DISTRITAL")</f>
        <v>MUNICIPALIDAD DISTRITAL</v>
      </c>
      <c r="C1116" s="25" t="str">
        <f ca="1">IFERROR(__xludf.DUMMYFUNCTION("""COMPUTED_VALUE"""),"MUNICIPALIDAD DISTRITAL DE PUCARA EN HUANCAYO")</f>
        <v>MUNICIPALIDAD DISTRITAL DE PUCARA EN HUANCAYO</v>
      </c>
      <c r="D1116" s="25" t="str">
        <f ca="1">IFERROR(__xludf.DUMMYFUNCTION("""COMPUTED_VALUE"""),"JUNÍN")</f>
        <v>JUNÍN</v>
      </c>
      <c r="E1116" s="25" t="str">
        <f ca="1">IFERROR(__xludf.DUMMYFUNCTION("""COMPUTED_VALUE"""),"JUNÍN")</f>
        <v>JUNÍN</v>
      </c>
      <c r="F1116" s="25" t="str">
        <f ca="1">IFERROR(__xludf.DUMMYFUNCTION("""COMPUTED_VALUE"""),"HUANCAYO")</f>
        <v>HUANCAYO</v>
      </c>
      <c r="G1116" s="25" t="str">
        <f ca="1">IFERROR(__xludf.DUMMYFUNCTION("""COMPUTED_VALUE"""),"PUCARA")</f>
        <v>PUCARA</v>
      </c>
      <c r="H1116" s="25" t="str">
        <f ca="1">IFERROR(__xludf.DUMMYFUNCTION("""COMPUTED_VALUE"""),"RURAL")</f>
        <v>RURAL</v>
      </c>
      <c r="I1116" s="25" t="str">
        <f ca="1">IFERROR(__xludf.DUMMYFUNCTION("""COMPUTED_VALUE"""),"Prioridad 3")</f>
        <v>Prioridad 3</v>
      </c>
      <c r="J1116" s="43" t="s">
        <v>264</v>
      </c>
    </row>
    <row r="1117" spans="2:10">
      <c r="B1117" s="25" t="str">
        <f ca="1">IFERROR(__xludf.DUMMYFUNCTION("""COMPUTED_VALUE"""),"MUNICIPALIDAD DISTRITAL")</f>
        <v>MUNICIPALIDAD DISTRITAL</v>
      </c>
      <c r="C1117" s="25" t="str">
        <f ca="1">IFERROR(__xludf.DUMMYFUNCTION("""COMPUTED_VALUE"""),"MUNICIPALIDAD DISTRITAL DE QUICHUAY")</f>
        <v>MUNICIPALIDAD DISTRITAL DE QUICHUAY</v>
      </c>
      <c r="D1117" s="25" t="str">
        <f ca="1">IFERROR(__xludf.DUMMYFUNCTION("""COMPUTED_VALUE"""),"JUNÍN")</f>
        <v>JUNÍN</v>
      </c>
      <c r="E1117" s="25" t="str">
        <f ca="1">IFERROR(__xludf.DUMMYFUNCTION("""COMPUTED_VALUE"""),"JUNÍN")</f>
        <v>JUNÍN</v>
      </c>
      <c r="F1117" s="25" t="str">
        <f ca="1">IFERROR(__xludf.DUMMYFUNCTION("""COMPUTED_VALUE"""),"HUANCAYO")</f>
        <v>HUANCAYO</v>
      </c>
      <c r="G1117" s="25" t="str">
        <f ca="1">IFERROR(__xludf.DUMMYFUNCTION("""COMPUTED_VALUE"""),"QUICHUAY")</f>
        <v>QUICHUAY</v>
      </c>
      <c r="H1117" s="25" t="str">
        <f ca="1">IFERROR(__xludf.DUMMYFUNCTION("""COMPUTED_VALUE"""),"RURAL")</f>
        <v>RURAL</v>
      </c>
      <c r="I1117" s="25" t="str">
        <f ca="1">IFERROR(__xludf.DUMMYFUNCTION("""COMPUTED_VALUE"""),"Prioridad 3")</f>
        <v>Prioridad 3</v>
      </c>
      <c r="J1117" s="43" t="s">
        <v>264</v>
      </c>
    </row>
    <row r="1118" spans="2:10">
      <c r="B1118" s="25" t="str">
        <f ca="1">IFERROR(__xludf.DUMMYFUNCTION("""COMPUTED_VALUE"""),"MUNICIPALIDAD DISTRITAL")</f>
        <v>MUNICIPALIDAD DISTRITAL</v>
      </c>
      <c r="C1118" s="25" t="str">
        <f ca="1">IFERROR(__xludf.DUMMYFUNCTION("""COMPUTED_VALUE"""),"MUNICIPALIDAD DISTRITAL DE QUILCAS")</f>
        <v>MUNICIPALIDAD DISTRITAL DE QUILCAS</v>
      </c>
      <c r="D1118" s="25" t="str">
        <f ca="1">IFERROR(__xludf.DUMMYFUNCTION("""COMPUTED_VALUE"""),"JUNÍN")</f>
        <v>JUNÍN</v>
      </c>
      <c r="E1118" s="25" t="str">
        <f ca="1">IFERROR(__xludf.DUMMYFUNCTION("""COMPUTED_VALUE"""),"JUNÍN")</f>
        <v>JUNÍN</v>
      </c>
      <c r="F1118" s="25" t="str">
        <f ca="1">IFERROR(__xludf.DUMMYFUNCTION("""COMPUTED_VALUE"""),"HUANCAYO")</f>
        <v>HUANCAYO</v>
      </c>
      <c r="G1118" s="25" t="str">
        <f ca="1">IFERROR(__xludf.DUMMYFUNCTION("""COMPUTED_VALUE"""),"QUILCAS")</f>
        <v>QUILCAS</v>
      </c>
      <c r="H1118" s="25" t="str">
        <f ca="1">IFERROR(__xludf.DUMMYFUNCTION("""COMPUTED_VALUE"""),"URBANO")</f>
        <v>URBANO</v>
      </c>
      <c r="I1118" s="25" t="str">
        <f ca="1">IFERROR(__xludf.DUMMYFUNCTION("""COMPUTED_VALUE"""),"Prioridad 2")</f>
        <v>Prioridad 2</v>
      </c>
      <c r="J1118" s="43" t="s">
        <v>264</v>
      </c>
    </row>
    <row r="1119" spans="2:10">
      <c r="B1119" s="25" t="str">
        <f ca="1">IFERROR(__xludf.DUMMYFUNCTION("""COMPUTED_VALUE"""),"MUNICIPALIDAD DISTRITAL")</f>
        <v>MUNICIPALIDAD DISTRITAL</v>
      </c>
      <c r="C1119" s="25" t="str">
        <f ca="1">IFERROR(__xludf.DUMMYFUNCTION("""COMPUTED_VALUE"""),"MUNICIPALIDAD DISTRITAL DE SAN AGUSTIN")</f>
        <v>MUNICIPALIDAD DISTRITAL DE SAN AGUSTIN</v>
      </c>
      <c r="D1119" s="25" t="str">
        <f ca="1">IFERROR(__xludf.DUMMYFUNCTION("""COMPUTED_VALUE"""),"JUNÍN")</f>
        <v>JUNÍN</v>
      </c>
      <c r="E1119" s="25" t="str">
        <f ca="1">IFERROR(__xludf.DUMMYFUNCTION("""COMPUTED_VALUE"""),"JUNÍN")</f>
        <v>JUNÍN</v>
      </c>
      <c r="F1119" s="25" t="str">
        <f ca="1">IFERROR(__xludf.DUMMYFUNCTION("""COMPUTED_VALUE"""),"HUANCAYO")</f>
        <v>HUANCAYO</v>
      </c>
      <c r="G1119" s="25" t="str">
        <f ca="1">IFERROR(__xludf.DUMMYFUNCTION("""COMPUTED_VALUE"""),"SAN AGUSTIN")</f>
        <v>SAN AGUSTIN</v>
      </c>
      <c r="H1119" s="25" t="str">
        <f ca="1">IFERROR(__xludf.DUMMYFUNCTION("""COMPUTED_VALUE"""),"URBANO")</f>
        <v>URBANO</v>
      </c>
      <c r="I1119" s="25" t="str">
        <f ca="1">IFERROR(__xludf.DUMMYFUNCTION("""COMPUTED_VALUE"""),"Prioridad 1")</f>
        <v>Prioridad 1</v>
      </c>
      <c r="J1119" s="43" t="s">
        <v>264</v>
      </c>
    </row>
    <row r="1120" spans="2:10">
      <c r="B1120" s="25" t="str">
        <f ca="1">IFERROR(__xludf.DUMMYFUNCTION("""COMPUTED_VALUE"""),"MUNICIPALIDAD DISTRITAL")</f>
        <v>MUNICIPALIDAD DISTRITAL</v>
      </c>
      <c r="C1120" s="25" t="str">
        <f ca="1">IFERROR(__xludf.DUMMYFUNCTION("""COMPUTED_VALUE"""),"MUNICIPALIDAD DISTRITAL DE SAN JERONIMO DE TUNAN")</f>
        <v>MUNICIPALIDAD DISTRITAL DE SAN JERONIMO DE TUNAN</v>
      </c>
      <c r="D1120" s="25" t="str">
        <f ca="1">IFERROR(__xludf.DUMMYFUNCTION("""COMPUTED_VALUE"""),"JUNÍN")</f>
        <v>JUNÍN</v>
      </c>
      <c r="E1120" s="25" t="str">
        <f ca="1">IFERROR(__xludf.DUMMYFUNCTION("""COMPUTED_VALUE"""),"JUNÍN")</f>
        <v>JUNÍN</v>
      </c>
      <c r="F1120" s="25" t="str">
        <f ca="1">IFERROR(__xludf.DUMMYFUNCTION("""COMPUTED_VALUE"""),"HUANCAYO")</f>
        <v>HUANCAYO</v>
      </c>
      <c r="G1120" s="25" t="str">
        <f ca="1">IFERROR(__xludf.DUMMYFUNCTION("""COMPUTED_VALUE"""),"SAN JERONIMO DE TUNAN")</f>
        <v>SAN JERONIMO DE TUNAN</v>
      </c>
      <c r="H1120" s="25" t="str">
        <f ca="1">IFERROR(__xludf.DUMMYFUNCTION("""COMPUTED_VALUE"""),"URBANO")</f>
        <v>URBANO</v>
      </c>
      <c r="I1120" s="25" t="str">
        <f ca="1">IFERROR(__xludf.DUMMYFUNCTION("""COMPUTED_VALUE"""),"Prioridad 1")</f>
        <v>Prioridad 1</v>
      </c>
      <c r="J1120" s="43" t="s">
        <v>264</v>
      </c>
    </row>
    <row r="1121" spans="2:10">
      <c r="B1121" s="25" t="str">
        <f ca="1">IFERROR(__xludf.DUMMYFUNCTION("""COMPUTED_VALUE"""),"MUNICIPALIDAD DISTRITAL")</f>
        <v>MUNICIPALIDAD DISTRITAL</v>
      </c>
      <c r="C1121" s="25" t="str">
        <f ca="1">IFERROR(__xludf.DUMMYFUNCTION("""COMPUTED_VALUE"""),"MUNICIPALIDAD DISTRITAL DE SAÑO")</f>
        <v>MUNICIPALIDAD DISTRITAL DE SAÑO</v>
      </c>
      <c r="D1121" s="25" t="str">
        <f ca="1">IFERROR(__xludf.DUMMYFUNCTION("""COMPUTED_VALUE"""),"JUNÍN")</f>
        <v>JUNÍN</v>
      </c>
      <c r="E1121" s="25" t="str">
        <f ca="1">IFERROR(__xludf.DUMMYFUNCTION("""COMPUTED_VALUE"""),"JUNÍN")</f>
        <v>JUNÍN</v>
      </c>
      <c r="F1121" s="25" t="str">
        <f ca="1">IFERROR(__xludf.DUMMYFUNCTION("""COMPUTED_VALUE"""),"HUANCAYO")</f>
        <v>HUANCAYO</v>
      </c>
      <c r="G1121" s="25" t="str">
        <f ca="1">IFERROR(__xludf.DUMMYFUNCTION("""COMPUTED_VALUE"""),"SAÑO")</f>
        <v>SAÑO</v>
      </c>
      <c r="H1121" s="25" t="str">
        <f ca="1">IFERROR(__xludf.DUMMYFUNCTION("""COMPUTED_VALUE"""),"URBANO")</f>
        <v>URBANO</v>
      </c>
      <c r="I1121" s="25" t="str">
        <f ca="1">IFERROR(__xludf.DUMMYFUNCTION("""COMPUTED_VALUE"""),"Prioridad 4")</f>
        <v>Prioridad 4</v>
      </c>
      <c r="J1121" s="43" t="s">
        <v>264</v>
      </c>
    </row>
    <row r="1122" spans="2:10">
      <c r="B1122" s="25" t="str">
        <f ca="1">IFERROR(__xludf.DUMMYFUNCTION("""COMPUTED_VALUE"""),"MUNICIPALIDAD DISTRITAL")</f>
        <v>MUNICIPALIDAD DISTRITAL</v>
      </c>
      <c r="C1122" s="25" t="str">
        <f ca="1">IFERROR(__xludf.DUMMYFUNCTION("""COMPUTED_VALUE"""),"MUNICIPALIDAD DISTRITAL DE SANTO DOMINGO DE ACOBAMBA")</f>
        <v>MUNICIPALIDAD DISTRITAL DE SANTO DOMINGO DE ACOBAMBA</v>
      </c>
      <c r="D1122" s="25" t="str">
        <f ca="1">IFERROR(__xludf.DUMMYFUNCTION("""COMPUTED_VALUE"""),"JUNÍN")</f>
        <v>JUNÍN</v>
      </c>
      <c r="E1122" s="25" t="str">
        <f ca="1">IFERROR(__xludf.DUMMYFUNCTION("""COMPUTED_VALUE"""),"JUNÍN")</f>
        <v>JUNÍN</v>
      </c>
      <c r="F1122" s="25" t="str">
        <f ca="1">IFERROR(__xludf.DUMMYFUNCTION("""COMPUTED_VALUE"""),"HUANCAYO")</f>
        <v>HUANCAYO</v>
      </c>
      <c r="G1122" s="25" t="str">
        <f ca="1">IFERROR(__xludf.DUMMYFUNCTION("""COMPUTED_VALUE"""),"SANTO DOMINGO DE ACOBAMBA")</f>
        <v>SANTO DOMINGO DE ACOBAMBA</v>
      </c>
      <c r="H1122" s="25" t="str">
        <f ca="1">IFERROR(__xludf.DUMMYFUNCTION("""COMPUTED_VALUE"""),"RURAL")</f>
        <v>RURAL</v>
      </c>
      <c r="I1122" s="25" t="str">
        <f ca="1">IFERROR(__xludf.DUMMYFUNCTION("""COMPUTED_VALUE"""),"Prioridad 5")</f>
        <v>Prioridad 5</v>
      </c>
      <c r="J1122" s="43" t="s">
        <v>264</v>
      </c>
    </row>
    <row r="1123" spans="2:10">
      <c r="B1123" s="25" t="str">
        <f ca="1">IFERROR(__xludf.DUMMYFUNCTION("""COMPUTED_VALUE"""),"MUNICIPALIDAD DISTRITAL")</f>
        <v>MUNICIPALIDAD DISTRITAL</v>
      </c>
      <c r="C1123" s="25" t="str">
        <f ca="1">IFERROR(__xludf.DUMMYFUNCTION("""COMPUTED_VALUE"""),"MUNICIPALIDAD DISTRITAL DE SAPALLANGA")</f>
        <v>MUNICIPALIDAD DISTRITAL DE SAPALLANGA</v>
      </c>
      <c r="D1123" s="25" t="str">
        <f ca="1">IFERROR(__xludf.DUMMYFUNCTION("""COMPUTED_VALUE"""),"JUNÍN")</f>
        <v>JUNÍN</v>
      </c>
      <c r="E1123" s="25" t="str">
        <f ca="1">IFERROR(__xludf.DUMMYFUNCTION("""COMPUTED_VALUE"""),"JUNÍN")</f>
        <v>JUNÍN</v>
      </c>
      <c r="F1123" s="25" t="str">
        <f ca="1">IFERROR(__xludf.DUMMYFUNCTION("""COMPUTED_VALUE"""),"HUANCAYO")</f>
        <v>HUANCAYO</v>
      </c>
      <c r="G1123" s="25" t="str">
        <f ca="1">IFERROR(__xludf.DUMMYFUNCTION("""COMPUTED_VALUE"""),"SAPALLANGA")</f>
        <v>SAPALLANGA</v>
      </c>
      <c r="H1123" s="25" t="str">
        <f ca="1">IFERROR(__xludf.DUMMYFUNCTION("""COMPUTED_VALUE"""),"URBANO")</f>
        <v>URBANO</v>
      </c>
      <c r="I1123" s="25" t="str">
        <f ca="1">IFERROR(__xludf.DUMMYFUNCTION("""COMPUTED_VALUE"""),"Prioridad 1")</f>
        <v>Prioridad 1</v>
      </c>
      <c r="J1123" s="43" t="s">
        <v>264</v>
      </c>
    </row>
    <row r="1124" spans="2:10">
      <c r="B1124" s="25" t="str">
        <f ca="1">IFERROR(__xludf.DUMMYFUNCTION("""COMPUTED_VALUE"""),"MUNICIPALIDAD DISTRITAL")</f>
        <v>MUNICIPALIDAD DISTRITAL</v>
      </c>
      <c r="C1124" s="25" t="str">
        <f ca="1">IFERROR(__xludf.DUMMYFUNCTION("""COMPUTED_VALUE"""),"MUNICIPALIDAD DISTRITAL DE SICAYA")</f>
        <v>MUNICIPALIDAD DISTRITAL DE SICAYA</v>
      </c>
      <c r="D1124" s="25" t="str">
        <f ca="1">IFERROR(__xludf.DUMMYFUNCTION("""COMPUTED_VALUE"""),"JUNÍN")</f>
        <v>JUNÍN</v>
      </c>
      <c r="E1124" s="25" t="str">
        <f ca="1">IFERROR(__xludf.DUMMYFUNCTION("""COMPUTED_VALUE"""),"JUNÍN")</f>
        <v>JUNÍN</v>
      </c>
      <c r="F1124" s="25" t="str">
        <f ca="1">IFERROR(__xludf.DUMMYFUNCTION("""COMPUTED_VALUE"""),"HUANCAYO")</f>
        <v>HUANCAYO</v>
      </c>
      <c r="G1124" s="25" t="str">
        <f ca="1">IFERROR(__xludf.DUMMYFUNCTION("""COMPUTED_VALUE"""),"SICAYA")</f>
        <v>SICAYA</v>
      </c>
      <c r="H1124" s="25" t="str">
        <f ca="1">IFERROR(__xludf.DUMMYFUNCTION("""COMPUTED_VALUE"""),"URBANO")</f>
        <v>URBANO</v>
      </c>
      <c r="I1124" s="25" t="str">
        <f ca="1">IFERROR(__xludf.DUMMYFUNCTION("""COMPUTED_VALUE"""),"Prioridad 2")</f>
        <v>Prioridad 2</v>
      </c>
      <c r="J1124" s="43" t="s">
        <v>264</v>
      </c>
    </row>
    <row r="1125" spans="2:10">
      <c r="B1125" s="25" t="str">
        <f ca="1">IFERROR(__xludf.DUMMYFUNCTION("""COMPUTED_VALUE"""),"MUNICIPALIDAD DISTRITAL")</f>
        <v>MUNICIPALIDAD DISTRITAL</v>
      </c>
      <c r="C1125" s="25" t="str">
        <f ca="1">IFERROR(__xludf.DUMMYFUNCTION("""COMPUTED_VALUE"""),"MUNICIPALIDAD DISTRITAL DE VIQUES")</f>
        <v>MUNICIPALIDAD DISTRITAL DE VIQUES</v>
      </c>
      <c r="D1125" s="25" t="str">
        <f ca="1">IFERROR(__xludf.DUMMYFUNCTION("""COMPUTED_VALUE"""),"JUNÍN")</f>
        <v>JUNÍN</v>
      </c>
      <c r="E1125" s="25" t="str">
        <f ca="1">IFERROR(__xludf.DUMMYFUNCTION("""COMPUTED_VALUE"""),"JUNÍN")</f>
        <v>JUNÍN</v>
      </c>
      <c r="F1125" s="25" t="str">
        <f ca="1">IFERROR(__xludf.DUMMYFUNCTION("""COMPUTED_VALUE"""),"HUANCAYO")</f>
        <v>HUANCAYO</v>
      </c>
      <c r="G1125" s="25" t="str">
        <f ca="1">IFERROR(__xludf.DUMMYFUNCTION("""COMPUTED_VALUE"""),"VIQUES")</f>
        <v>VIQUES</v>
      </c>
      <c r="H1125" s="25" t="str">
        <f ca="1">IFERROR(__xludf.DUMMYFUNCTION("""COMPUTED_VALUE"""),"URBANO")</f>
        <v>URBANO</v>
      </c>
      <c r="I1125" s="25" t="str">
        <f ca="1">IFERROR(__xludf.DUMMYFUNCTION("""COMPUTED_VALUE"""),"Prioridad 2")</f>
        <v>Prioridad 2</v>
      </c>
      <c r="J1125" s="43" t="s">
        <v>264</v>
      </c>
    </row>
    <row r="1126" spans="2:10">
      <c r="B1126" s="25" t="str">
        <f ca="1">IFERROR(__xludf.DUMMYFUNCTION("""COMPUTED_VALUE"""),"GOBIERNO REGIONAL")</f>
        <v>GOBIERNO REGIONAL</v>
      </c>
      <c r="C1126" s="25" t="str">
        <f ca="1">IFERROR(__xludf.DUMMYFUNCTION("""COMPUTED_VALUE"""),"GOBIERNO REGIONAL DE JUNÍN")</f>
        <v>GOBIERNO REGIONAL DE JUNÍN</v>
      </c>
      <c r="D1126" s="25" t="str">
        <f ca="1">IFERROR(__xludf.DUMMYFUNCTION("""COMPUTED_VALUE"""),"JUNÍN")</f>
        <v>JUNÍN</v>
      </c>
      <c r="E1126" s="25" t="str">
        <f ca="1">IFERROR(__xludf.DUMMYFUNCTION("""COMPUTED_VALUE"""),"JUNÍN")</f>
        <v>JUNÍN</v>
      </c>
      <c r="F1126" s="25" t="str">
        <f ca="1">IFERROR(__xludf.DUMMYFUNCTION("""COMPUTED_VALUE"""),"HUANCAYO")</f>
        <v>HUANCAYO</v>
      </c>
      <c r="G1126" s="25" t="str">
        <f ca="1">IFERROR(__xludf.DUMMYFUNCTION("""COMPUTED_VALUE"""),"JUNIN")</f>
        <v>JUNIN</v>
      </c>
      <c r="H1126" s="25" t="str">
        <f ca="1">IFERROR(__xludf.DUMMYFUNCTION("""COMPUTED_VALUE"""),"RURAL")</f>
        <v>RURAL</v>
      </c>
      <c r="I1126" s="25" t="str">
        <f ca="1">IFERROR(__xludf.DUMMYFUNCTION("""COMPUTED_VALUE"""),"Prioridad 1")</f>
        <v>Prioridad 1</v>
      </c>
      <c r="J1126" s="43" t="s">
        <v>264</v>
      </c>
    </row>
    <row r="1127" spans="2:10">
      <c r="B1127" s="25" t="str">
        <f ca="1">IFERROR(__xludf.DUMMYFUNCTION("""COMPUTED_VALUE"""),"MUNICIPALIDAD PROVINCIAL")</f>
        <v>MUNICIPALIDAD PROVINCIAL</v>
      </c>
      <c r="C1127" s="25" t="str">
        <f ca="1">IFERROR(__xludf.DUMMYFUNCTION("""COMPUTED_VALUE"""),"MUNICIPALIDAD PROVINCIAL DE JAUJA")</f>
        <v>MUNICIPALIDAD PROVINCIAL DE JAUJA</v>
      </c>
      <c r="D1127" s="25" t="str">
        <f ca="1">IFERROR(__xludf.DUMMYFUNCTION("""COMPUTED_VALUE"""),"JUNÍN")</f>
        <v>JUNÍN</v>
      </c>
      <c r="E1127" s="25" t="str">
        <f ca="1">IFERROR(__xludf.DUMMYFUNCTION("""COMPUTED_VALUE"""),"JUNÍN")</f>
        <v>JUNÍN</v>
      </c>
      <c r="F1127" s="25" t="str">
        <f ca="1">IFERROR(__xludf.DUMMYFUNCTION("""COMPUTED_VALUE"""),"JAUJA")</f>
        <v>JAUJA</v>
      </c>
      <c r="G1127" s="25" t="str">
        <f ca="1">IFERROR(__xludf.DUMMYFUNCTION("""COMPUTED_VALUE"""),"JAUJA")</f>
        <v>JAUJA</v>
      </c>
      <c r="H1127" s="25" t="str">
        <f ca="1">IFERROR(__xludf.DUMMYFUNCTION("""COMPUTED_VALUE"""),"URBANO")</f>
        <v>URBANO</v>
      </c>
      <c r="I1127" s="25" t="str">
        <f ca="1">IFERROR(__xludf.DUMMYFUNCTION("""COMPUTED_VALUE"""),"Prioridad 1")</f>
        <v>Prioridad 1</v>
      </c>
      <c r="J1127" s="43" t="s">
        <v>264</v>
      </c>
    </row>
    <row r="1128" spans="2:10">
      <c r="B1128" s="25" t="str">
        <f ca="1">IFERROR(__xludf.DUMMYFUNCTION("""COMPUTED_VALUE"""),"MUNICIPALIDAD DISTRITAL")</f>
        <v>MUNICIPALIDAD DISTRITAL</v>
      </c>
      <c r="C1128" s="25" t="str">
        <f ca="1">IFERROR(__xludf.DUMMYFUNCTION("""COMPUTED_VALUE"""),"MUNICIPALIDAD DISTRITAL DE ACOLLA")</f>
        <v>MUNICIPALIDAD DISTRITAL DE ACOLLA</v>
      </c>
      <c r="D1128" s="25" t="str">
        <f ca="1">IFERROR(__xludf.DUMMYFUNCTION("""COMPUTED_VALUE"""),"JUNÍN")</f>
        <v>JUNÍN</v>
      </c>
      <c r="E1128" s="25" t="str">
        <f ca="1">IFERROR(__xludf.DUMMYFUNCTION("""COMPUTED_VALUE"""),"JUNÍN")</f>
        <v>JUNÍN</v>
      </c>
      <c r="F1128" s="25" t="str">
        <f ca="1">IFERROR(__xludf.DUMMYFUNCTION("""COMPUTED_VALUE"""),"JAUJA")</f>
        <v>JAUJA</v>
      </c>
      <c r="G1128" s="25" t="str">
        <f ca="1">IFERROR(__xludf.DUMMYFUNCTION("""COMPUTED_VALUE"""),"ACOLLA")</f>
        <v>ACOLLA</v>
      </c>
      <c r="H1128" s="25" t="str">
        <f ca="1">IFERROR(__xludf.DUMMYFUNCTION("""COMPUTED_VALUE"""),"URBANO")</f>
        <v>URBANO</v>
      </c>
      <c r="I1128" s="25" t="str">
        <f ca="1">IFERROR(__xludf.DUMMYFUNCTION("""COMPUTED_VALUE"""),"Prioridad 2")</f>
        <v>Prioridad 2</v>
      </c>
      <c r="J1128" s="43" t="s">
        <v>264</v>
      </c>
    </row>
    <row r="1129" spans="2:10">
      <c r="B1129" s="25" t="str">
        <f ca="1">IFERROR(__xludf.DUMMYFUNCTION("""COMPUTED_VALUE"""),"MUNICIPALIDAD DISTRITAL")</f>
        <v>MUNICIPALIDAD DISTRITAL</v>
      </c>
      <c r="C1129" s="25" t="str">
        <f ca="1">IFERROR(__xludf.DUMMYFUNCTION("""COMPUTED_VALUE"""),"MUNICIPALIDAD DISTRITAL DE APATA")</f>
        <v>MUNICIPALIDAD DISTRITAL DE APATA</v>
      </c>
      <c r="D1129" s="25" t="str">
        <f ca="1">IFERROR(__xludf.DUMMYFUNCTION("""COMPUTED_VALUE"""),"JUNÍN")</f>
        <v>JUNÍN</v>
      </c>
      <c r="E1129" s="25" t="str">
        <f ca="1">IFERROR(__xludf.DUMMYFUNCTION("""COMPUTED_VALUE"""),"JUNÍN")</f>
        <v>JUNÍN</v>
      </c>
      <c r="F1129" s="25" t="str">
        <f ca="1">IFERROR(__xludf.DUMMYFUNCTION("""COMPUTED_VALUE"""),"JAUJA")</f>
        <v>JAUJA</v>
      </c>
      <c r="G1129" s="25" t="str">
        <f ca="1">IFERROR(__xludf.DUMMYFUNCTION("""COMPUTED_VALUE"""),"APATA")</f>
        <v>APATA</v>
      </c>
      <c r="H1129" s="25" t="str">
        <f ca="1">IFERROR(__xludf.DUMMYFUNCTION("""COMPUTED_VALUE"""),"RURAL")</f>
        <v>RURAL</v>
      </c>
      <c r="I1129" s="25" t="str">
        <f ca="1">IFERROR(__xludf.DUMMYFUNCTION("""COMPUTED_VALUE"""),"Prioridad 3")</f>
        <v>Prioridad 3</v>
      </c>
      <c r="J1129" s="43" t="s">
        <v>264</v>
      </c>
    </row>
    <row r="1130" spans="2:10">
      <c r="B1130" s="25" t="str">
        <f ca="1">IFERROR(__xludf.DUMMYFUNCTION("""COMPUTED_VALUE"""),"MUNICIPALIDAD DISTRITAL")</f>
        <v>MUNICIPALIDAD DISTRITAL</v>
      </c>
      <c r="C1130" s="25" t="str">
        <f ca="1">IFERROR(__xludf.DUMMYFUNCTION("""COMPUTED_VALUE"""),"MUNICIPALIDAD DISTRITAL DE ATAURA")</f>
        <v>MUNICIPALIDAD DISTRITAL DE ATAURA</v>
      </c>
      <c r="D1130" s="25" t="str">
        <f ca="1">IFERROR(__xludf.DUMMYFUNCTION("""COMPUTED_VALUE"""),"JUNÍN")</f>
        <v>JUNÍN</v>
      </c>
      <c r="E1130" s="25" t="str">
        <f ca="1">IFERROR(__xludf.DUMMYFUNCTION("""COMPUTED_VALUE"""),"JUNÍN")</f>
        <v>JUNÍN</v>
      </c>
      <c r="F1130" s="25" t="str">
        <f ca="1">IFERROR(__xludf.DUMMYFUNCTION("""COMPUTED_VALUE"""),"JAUJA")</f>
        <v>JAUJA</v>
      </c>
      <c r="G1130" s="25" t="str">
        <f ca="1">IFERROR(__xludf.DUMMYFUNCTION("""COMPUTED_VALUE"""),"ATAURA")</f>
        <v>ATAURA</v>
      </c>
      <c r="H1130" s="25" t="str">
        <f ca="1">IFERROR(__xludf.DUMMYFUNCTION("""COMPUTED_VALUE"""),"RURAL")</f>
        <v>RURAL</v>
      </c>
      <c r="I1130" s="25" t="str">
        <f ca="1">IFERROR(__xludf.DUMMYFUNCTION("""COMPUTED_VALUE"""),"Prioridad 2")</f>
        <v>Prioridad 2</v>
      </c>
      <c r="J1130" s="43" t="s">
        <v>264</v>
      </c>
    </row>
    <row r="1131" spans="2:10">
      <c r="B1131" s="25" t="str">
        <f ca="1">IFERROR(__xludf.DUMMYFUNCTION("""COMPUTED_VALUE"""),"MUNICIPALIDAD DISTRITAL")</f>
        <v>MUNICIPALIDAD DISTRITAL</v>
      </c>
      <c r="C1131" s="25" t="str">
        <f ca="1">IFERROR(__xludf.DUMMYFUNCTION("""COMPUTED_VALUE"""),"MUNICIPALIDAD DISTRITAL DE CANCHAYLLO")</f>
        <v>MUNICIPALIDAD DISTRITAL DE CANCHAYLLO</v>
      </c>
      <c r="D1131" s="25" t="str">
        <f ca="1">IFERROR(__xludf.DUMMYFUNCTION("""COMPUTED_VALUE"""),"JUNÍN")</f>
        <v>JUNÍN</v>
      </c>
      <c r="E1131" s="25" t="str">
        <f ca="1">IFERROR(__xludf.DUMMYFUNCTION("""COMPUTED_VALUE"""),"JUNÍN")</f>
        <v>JUNÍN</v>
      </c>
      <c r="F1131" s="25" t="str">
        <f ca="1">IFERROR(__xludf.DUMMYFUNCTION("""COMPUTED_VALUE"""),"JAUJA")</f>
        <v>JAUJA</v>
      </c>
      <c r="G1131" s="25" t="str">
        <f ca="1">IFERROR(__xludf.DUMMYFUNCTION("""COMPUTED_VALUE"""),"CANCHAYLLO")</f>
        <v>CANCHAYLLO</v>
      </c>
      <c r="H1131" s="25" t="str">
        <f ca="1">IFERROR(__xludf.DUMMYFUNCTION("""COMPUTED_VALUE"""),"RURAL")</f>
        <v>RURAL</v>
      </c>
      <c r="I1131" s="25" t="str">
        <f ca="1">IFERROR(__xludf.DUMMYFUNCTION("""COMPUTED_VALUE"""),"Prioridad 2")</f>
        <v>Prioridad 2</v>
      </c>
      <c r="J1131" s="43" t="s">
        <v>264</v>
      </c>
    </row>
    <row r="1132" spans="2:10">
      <c r="B1132" s="25" t="str">
        <f ca="1">IFERROR(__xludf.DUMMYFUNCTION("""COMPUTED_VALUE"""),"MUNICIPALIDAD DISTRITAL")</f>
        <v>MUNICIPALIDAD DISTRITAL</v>
      </c>
      <c r="C1132" s="25" t="str">
        <f ca="1">IFERROR(__xludf.DUMMYFUNCTION("""COMPUTED_VALUE"""),"MUNICIPALIDAD DISTRITAL DE CURICACA")</f>
        <v>MUNICIPALIDAD DISTRITAL DE CURICACA</v>
      </c>
      <c r="D1132" s="25" t="str">
        <f ca="1">IFERROR(__xludf.DUMMYFUNCTION("""COMPUTED_VALUE"""),"JUNÍN")</f>
        <v>JUNÍN</v>
      </c>
      <c r="E1132" s="25" t="str">
        <f ca="1">IFERROR(__xludf.DUMMYFUNCTION("""COMPUTED_VALUE"""),"JUNÍN")</f>
        <v>JUNÍN</v>
      </c>
      <c r="F1132" s="25" t="str">
        <f ca="1">IFERROR(__xludf.DUMMYFUNCTION("""COMPUTED_VALUE"""),"JAUJA")</f>
        <v>JAUJA</v>
      </c>
      <c r="G1132" s="25" t="str">
        <f ca="1">IFERROR(__xludf.DUMMYFUNCTION("""COMPUTED_VALUE"""),"CURICACA")</f>
        <v>CURICACA</v>
      </c>
      <c r="H1132" s="25" t="str">
        <f ca="1">IFERROR(__xludf.DUMMYFUNCTION("""COMPUTED_VALUE"""),"RURAL")</f>
        <v>RURAL</v>
      </c>
      <c r="I1132" s="25" t="str">
        <f ca="1">IFERROR(__xludf.DUMMYFUNCTION("""COMPUTED_VALUE"""),"Prioridad 3")</f>
        <v>Prioridad 3</v>
      </c>
      <c r="J1132" s="43" t="s">
        <v>264</v>
      </c>
    </row>
    <row r="1133" spans="2:10">
      <c r="B1133" s="25" t="str">
        <f ca="1">IFERROR(__xludf.DUMMYFUNCTION("""COMPUTED_VALUE"""),"MUNICIPALIDAD DISTRITAL")</f>
        <v>MUNICIPALIDAD DISTRITAL</v>
      </c>
      <c r="C1133" s="25" t="str">
        <f ca="1">IFERROR(__xludf.DUMMYFUNCTION("""COMPUTED_VALUE"""),"MUNICIPALIDAD DISTRITAL DE EL MANTARO")</f>
        <v>MUNICIPALIDAD DISTRITAL DE EL MANTARO</v>
      </c>
      <c r="D1133" s="25" t="str">
        <f ca="1">IFERROR(__xludf.DUMMYFUNCTION("""COMPUTED_VALUE"""),"JUNÍN")</f>
        <v>JUNÍN</v>
      </c>
      <c r="E1133" s="25" t="str">
        <f ca="1">IFERROR(__xludf.DUMMYFUNCTION("""COMPUTED_VALUE"""),"JUNÍN")</f>
        <v>JUNÍN</v>
      </c>
      <c r="F1133" s="25" t="str">
        <f ca="1">IFERROR(__xludf.DUMMYFUNCTION("""COMPUTED_VALUE"""),"JAUJA")</f>
        <v>JAUJA</v>
      </c>
      <c r="G1133" s="25" t="str">
        <f ca="1">IFERROR(__xludf.DUMMYFUNCTION("""COMPUTED_VALUE"""),"EL MANTARO")</f>
        <v>EL MANTARO</v>
      </c>
      <c r="H1133" s="25" t="str">
        <f ca="1">IFERROR(__xludf.DUMMYFUNCTION("""COMPUTED_VALUE"""),"URBANO")</f>
        <v>URBANO</v>
      </c>
      <c r="I1133" s="25" t="str">
        <f ca="1">IFERROR(__xludf.DUMMYFUNCTION("""COMPUTED_VALUE"""),"Prioridad 2")</f>
        <v>Prioridad 2</v>
      </c>
      <c r="J1133" s="43" t="s">
        <v>264</v>
      </c>
    </row>
    <row r="1134" spans="2:10">
      <c r="B1134" s="25" t="str">
        <f ca="1">IFERROR(__xludf.DUMMYFUNCTION("""COMPUTED_VALUE"""),"MUNICIPALIDAD DISTRITAL")</f>
        <v>MUNICIPALIDAD DISTRITAL</v>
      </c>
      <c r="C1134" s="25" t="str">
        <f ca="1">IFERROR(__xludf.DUMMYFUNCTION("""COMPUTED_VALUE"""),"MUNICIPALIDAD DISTRITAL DE HUAMALI")</f>
        <v>MUNICIPALIDAD DISTRITAL DE HUAMALI</v>
      </c>
      <c r="D1134" s="25" t="str">
        <f ca="1">IFERROR(__xludf.DUMMYFUNCTION("""COMPUTED_VALUE"""),"JUNÍN")</f>
        <v>JUNÍN</v>
      </c>
      <c r="E1134" s="25" t="str">
        <f ca="1">IFERROR(__xludf.DUMMYFUNCTION("""COMPUTED_VALUE"""),"JUNÍN")</f>
        <v>JUNÍN</v>
      </c>
      <c r="F1134" s="25" t="str">
        <f ca="1">IFERROR(__xludf.DUMMYFUNCTION("""COMPUTED_VALUE"""),"JAUJA")</f>
        <v>JAUJA</v>
      </c>
      <c r="G1134" s="25" t="str">
        <f ca="1">IFERROR(__xludf.DUMMYFUNCTION("""COMPUTED_VALUE"""),"HUAMALI")</f>
        <v>HUAMALI</v>
      </c>
      <c r="H1134" s="25" t="str">
        <f ca="1">IFERROR(__xludf.DUMMYFUNCTION("""COMPUTED_VALUE"""),"RURAL")</f>
        <v>RURAL</v>
      </c>
      <c r="I1134" s="25" t="str">
        <f ca="1">IFERROR(__xludf.DUMMYFUNCTION("""COMPUTED_VALUE"""),"Prioridad 4")</f>
        <v>Prioridad 4</v>
      </c>
      <c r="J1134" s="43" t="s">
        <v>264</v>
      </c>
    </row>
    <row r="1135" spans="2:10">
      <c r="B1135" s="25" t="str">
        <f ca="1">IFERROR(__xludf.DUMMYFUNCTION("""COMPUTED_VALUE"""),"MUNICIPALIDAD DISTRITAL")</f>
        <v>MUNICIPALIDAD DISTRITAL</v>
      </c>
      <c r="C1135" s="25" t="str">
        <f ca="1">IFERROR(__xludf.DUMMYFUNCTION("""COMPUTED_VALUE"""),"MUNICIPALIDAD DISTRITAL DE HUARIPAMPA")</f>
        <v>MUNICIPALIDAD DISTRITAL DE HUARIPAMPA</v>
      </c>
      <c r="D1135" s="25" t="str">
        <f ca="1">IFERROR(__xludf.DUMMYFUNCTION("""COMPUTED_VALUE"""),"JUNÍN")</f>
        <v>JUNÍN</v>
      </c>
      <c r="E1135" s="25" t="str">
        <f ca="1">IFERROR(__xludf.DUMMYFUNCTION("""COMPUTED_VALUE"""),"JUNÍN")</f>
        <v>JUNÍN</v>
      </c>
      <c r="F1135" s="25" t="str">
        <f ca="1">IFERROR(__xludf.DUMMYFUNCTION("""COMPUTED_VALUE"""),"JAUJA")</f>
        <v>JAUJA</v>
      </c>
      <c r="G1135" s="25" t="str">
        <f ca="1">IFERROR(__xludf.DUMMYFUNCTION("""COMPUTED_VALUE"""),"HUARIPAMPA")</f>
        <v>HUARIPAMPA</v>
      </c>
      <c r="H1135" s="25" t="str">
        <f ca="1">IFERROR(__xludf.DUMMYFUNCTION("""COMPUTED_VALUE"""),"RURAL")</f>
        <v>RURAL</v>
      </c>
      <c r="I1135" s="25" t="str">
        <f ca="1">IFERROR(__xludf.DUMMYFUNCTION("""COMPUTED_VALUE"""),"Prioridad 2")</f>
        <v>Prioridad 2</v>
      </c>
      <c r="J1135" s="43" t="s">
        <v>264</v>
      </c>
    </row>
    <row r="1136" spans="2:10">
      <c r="B1136" s="25" t="str">
        <f ca="1">IFERROR(__xludf.DUMMYFUNCTION("""COMPUTED_VALUE"""),"MUNICIPALIDAD DISTRITAL")</f>
        <v>MUNICIPALIDAD DISTRITAL</v>
      </c>
      <c r="C1136" s="25" t="str">
        <f ca="1">IFERROR(__xludf.DUMMYFUNCTION("""COMPUTED_VALUE"""),"MUNICIPALIDAD DISTRITAL DE HUERTAS")</f>
        <v>MUNICIPALIDAD DISTRITAL DE HUERTAS</v>
      </c>
      <c r="D1136" s="25" t="str">
        <f ca="1">IFERROR(__xludf.DUMMYFUNCTION("""COMPUTED_VALUE"""),"JUNÍN")</f>
        <v>JUNÍN</v>
      </c>
      <c r="E1136" s="25" t="str">
        <f ca="1">IFERROR(__xludf.DUMMYFUNCTION("""COMPUTED_VALUE"""),"JUNÍN")</f>
        <v>JUNÍN</v>
      </c>
      <c r="F1136" s="25" t="str">
        <f ca="1">IFERROR(__xludf.DUMMYFUNCTION("""COMPUTED_VALUE"""),"JAUJA")</f>
        <v>JAUJA</v>
      </c>
      <c r="G1136" s="25" t="str">
        <f ca="1">IFERROR(__xludf.DUMMYFUNCTION("""COMPUTED_VALUE"""),"HUERTAS")</f>
        <v>HUERTAS</v>
      </c>
      <c r="H1136" s="25" t="str">
        <f ca="1">IFERROR(__xludf.DUMMYFUNCTION("""COMPUTED_VALUE"""),"RURAL")</f>
        <v>RURAL</v>
      </c>
      <c r="I1136" s="25" t="str">
        <f ca="1">IFERROR(__xludf.DUMMYFUNCTION("""COMPUTED_VALUE"""),"Prioridad 2")</f>
        <v>Prioridad 2</v>
      </c>
      <c r="J1136" s="43" t="s">
        <v>264</v>
      </c>
    </row>
    <row r="1137" spans="2:10">
      <c r="B1137" s="25" t="str">
        <f ca="1">IFERROR(__xludf.DUMMYFUNCTION("""COMPUTED_VALUE"""),"MUNICIPALIDAD DISTRITAL")</f>
        <v>MUNICIPALIDAD DISTRITAL</v>
      </c>
      <c r="C1137" s="25" t="str">
        <f ca="1">IFERROR(__xludf.DUMMYFUNCTION("""COMPUTED_VALUE"""),"MUNICIPALIDAD DISTRITAL DE JANJAILLO")</f>
        <v>MUNICIPALIDAD DISTRITAL DE JANJAILLO</v>
      </c>
      <c r="D1137" s="25" t="str">
        <f ca="1">IFERROR(__xludf.DUMMYFUNCTION("""COMPUTED_VALUE"""),"JUNÍN")</f>
        <v>JUNÍN</v>
      </c>
      <c r="E1137" s="25" t="str">
        <f ca="1">IFERROR(__xludf.DUMMYFUNCTION("""COMPUTED_VALUE"""),"JUNÍN")</f>
        <v>JUNÍN</v>
      </c>
      <c r="F1137" s="25" t="str">
        <f ca="1">IFERROR(__xludf.DUMMYFUNCTION("""COMPUTED_VALUE"""),"JAUJA")</f>
        <v>JAUJA</v>
      </c>
      <c r="G1137" s="25" t="str">
        <f ca="1">IFERROR(__xludf.DUMMYFUNCTION("""COMPUTED_VALUE"""),"JANJAILLO")</f>
        <v>JANJAILLO</v>
      </c>
      <c r="H1137" s="25" t="str">
        <f ca="1">IFERROR(__xludf.DUMMYFUNCTION("""COMPUTED_VALUE"""),"RURAL")</f>
        <v>RURAL</v>
      </c>
      <c r="I1137" s="25" t="str">
        <f ca="1">IFERROR(__xludf.DUMMYFUNCTION("""COMPUTED_VALUE"""),"Prioridad 5")</f>
        <v>Prioridad 5</v>
      </c>
      <c r="J1137" s="43" t="s">
        <v>264</v>
      </c>
    </row>
    <row r="1138" spans="2:10">
      <c r="B1138" s="25" t="str">
        <f ca="1">IFERROR(__xludf.DUMMYFUNCTION("""COMPUTED_VALUE"""),"MUNICIPALIDAD DISTRITAL")</f>
        <v>MUNICIPALIDAD DISTRITAL</v>
      </c>
      <c r="C1138" s="25" t="str">
        <f ca="1">IFERROR(__xludf.DUMMYFUNCTION("""COMPUTED_VALUE"""),"MUNICIPALIDAD DISTRITAL DE JULCAN")</f>
        <v>MUNICIPALIDAD DISTRITAL DE JULCAN</v>
      </c>
      <c r="D1138" s="25" t="str">
        <f ca="1">IFERROR(__xludf.DUMMYFUNCTION("""COMPUTED_VALUE"""),"JUNÍN")</f>
        <v>JUNÍN</v>
      </c>
      <c r="E1138" s="25" t="str">
        <f ca="1">IFERROR(__xludf.DUMMYFUNCTION("""COMPUTED_VALUE"""),"JUNÍN")</f>
        <v>JUNÍN</v>
      </c>
      <c r="F1138" s="25" t="str">
        <f ca="1">IFERROR(__xludf.DUMMYFUNCTION("""COMPUTED_VALUE"""),"JAUJA")</f>
        <v>JAUJA</v>
      </c>
      <c r="G1138" s="25" t="str">
        <f ca="1">IFERROR(__xludf.DUMMYFUNCTION("""COMPUTED_VALUE"""),"JULCAN")</f>
        <v>JULCAN</v>
      </c>
      <c r="H1138" s="25" t="str">
        <f ca="1">IFERROR(__xludf.DUMMYFUNCTION("""COMPUTED_VALUE"""),"RURAL")</f>
        <v>RURAL</v>
      </c>
      <c r="I1138" s="25" t="str">
        <f ca="1">IFERROR(__xludf.DUMMYFUNCTION("""COMPUTED_VALUE"""),"Prioridad 4")</f>
        <v>Prioridad 4</v>
      </c>
      <c r="J1138" s="43" t="s">
        <v>264</v>
      </c>
    </row>
    <row r="1139" spans="2:10">
      <c r="B1139" s="25" t="str">
        <f ca="1">IFERROR(__xludf.DUMMYFUNCTION("""COMPUTED_VALUE"""),"MUNICIPALIDAD DISTRITAL")</f>
        <v>MUNICIPALIDAD DISTRITAL</v>
      </c>
      <c r="C1139" s="25" t="str">
        <f ca="1">IFERROR(__xludf.DUMMYFUNCTION("""COMPUTED_VALUE"""),"MUNICIPALIDAD DISTRITAL DE LEONOR ORDOÑEZ")</f>
        <v>MUNICIPALIDAD DISTRITAL DE LEONOR ORDOÑEZ</v>
      </c>
      <c r="D1139" s="25" t="str">
        <f ca="1">IFERROR(__xludf.DUMMYFUNCTION("""COMPUTED_VALUE"""),"JUNÍN")</f>
        <v>JUNÍN</v>
      </c>
      <c r="E1139" s="25" t="str">
        <f ca="1">IFERROR(__xludf.DUMMYFUNCTION("""COMPUTED_VALUE"""),"JUNÍN")</f>
        <v>JUNÍN</v>
      </c>
      <c r="F1139" s="25" t="str">
        <f ca="1">IFERROR(__xludf.DUMMYFUNCTION("""COMPUTED_VALUE"""),"JAUJA")</f>
        <v>JAUJA</v>
      </c>
      <c r="G1139" s="25" t="str">
        <f ca="1">IFERROR(__xludf.DUMMYFUNCTION("""COMPUTED_VALUE"""),"LEONOR ORDOÑEZ")</f>
        <v>LEONOR ORDOÑEZ</v>
      </c>
      <c r="H1139" s="25" t="str">
        <f ca="1">IFERROR(__xludf.DUMMYFUNCTION("""COMPUTED_VALUE"""),"RURAL")</f>
        <v>RURAL</v>
      </c>
      <c r="I1139" s="25" t="str">
        <f ca="1">IFERROR(__xludf.DUMMYFUNCTION("""COMPUTED_VALUE"""),"Prioridad 2")</f>
        <v>Prioridad 2</v>
      </c>
      <c r="J1139" s="43" t="s">
        <v>264</v>
      </c>
    </row>
    <row r="1140" spans="2:10">
      <c r="B1140" s="25" t="str">
        <f ca="1">IFERROR(__xludf.DUMMYFUNCTION("""COMPUTED_VALUE"""),"MUNICIPALIDAD DISTRITAL")</f>
        <v>MUNICIPALIDAD DISTRITAL</v>
      </c>
      <c r="C1140" s="25" t="str">
        <f ca="1">IFERROR(__xludf.DUMMYFUNCTION("""COMPUTED_VALUE"""),"MUNICIPALIDAD DISTRITAL DE LLOCLLAPAMPA")</f>
        <v>MUNICIPALIDAD DISTRITAL DE LLOCLLAPAMPA</v>
      </c>
      <c r="D1140" s="25" t="str">
        <f ca="1">IFERROR(__xludf.DUMMYFUNCTION("""COMPUTED_VALUE"""),"JUNÍN")</f>
        <v>JUNÍN</v>
      </c>
      <c r="E1140" s="25" t="str">
        <f ca="1">IFERROR(__xludf.DUMMYFUNCTION("""COMPUTED_VALUE"""),"JUNÍN")</f>
        <v>JUNÍN</v>
      </c>
      <c r="F1140" s="25" t="str">
        <f ca="1">IFERROR(__xludf.DUMMYFUNCTION("""COMPUTED_VALUE"""),"JAUJA")</f>
        <v>JAUJA</v>
      </c>
      <c r="G1140" s="25" t="str">
        <f ca="1">IFERROR(__xludf.DUMMYFUNCTION("""COMPUTED_VALUE"""),"LLOCLLAPAMPA")</f>
        <v>LLOCLLAPAMPA</v>
      </c>
      <c r="H1140" s="25" t="str">
        <f ca="1">IFERROR(__xludf.DUMMYFUNCTION("""COMPUTED_VALUE"""),"RURAL")</f>
        <v>RURAL</v>
      </c>
      <c r="I1140" s="25" t="str">
        <f ca="1">IFERROR(__xludf.DUMMYFUNCTION("""COMPUTED_VALUE"""),"Prioridad 2")</f>
        <v>Prioridad 2</v>
      </c>
      <c r="J1140" s="43" t="s">
        <v>264</v>
      </c>
    </row>
    <row r="1141" spans="2:10">
      <c r="B1141" s="25" t="str">
        <f ca="1">IFERROR(__xludf.DUMMYFUNCTION("""COMPUTED_VALUE"""),"MUNICIPALIDAD DISTRITAL")</f>
        <v>MUNICIPALIDAD DISTRITAL</v>
      </c>
      <c r="C1141" s="25" t="str">
        <f ca="1">IFERROR(__xludf.DUMMYFUNCTION("""COMPUTED_VALUE"""),"MUNICIPALIDAD DISTRITAL DE MARCO")</f>
        <v>MUNICIPALIDAD DISTRITAL DE MARCO</v>
      </c>
      <c r="D1141" s="25" t="str">
        <f ca="1">IFERROR(__xludf.DUMMYFUNCTION("""COMPUTED_VALUE"""),"JUNÍN")</f>
        <v>JUNÍN</v>
      </c>
      <c r="E1141" s="25" t="str">
        <f ca="1">IFERROR(__xludf.DUMMYFUNCTION("""COMPUTED_VALUE"""),"JUNÍN")</f>
        <v>JUNÍN</v>
      </c>
      <c r="F1141" s="25" t="str">
        <f ca="1">IFERROR(__xludf.DUMMYFUNCTION("""COMPUTED_VALUE"""),"JAUJA")</f>
        <v>JAUJA</v>
      </c>
      <c r="G1141" s="25" t="str">
        <f ca="1">IFERROR(__xludf.DUMMYFUNCTION("""COMPUTED_VALUE"""),"MARCO")</f>
        <v>MARCO</v>
      </c>
      <c r="H1141" s="25" t="str">
        <f ca="1">IFERROR(__xludf.DUMMYFUNCTION("""COMPUTED_VALUE"""),"RURAL")</f>
        <v>RURAL</v>
      </c>
      <c r="I1141" s="25" t="str">
        <f ca="1">IFERROR(__xludf.DUMMYFUNCTION("""COMPUTED_VALUE"""),"Prioridad 4")</f>
        <v>Prioridad 4</v>
      </c>
      <c r="J1141" s="43" t="s">
        <v>264</v>
      </c>
    </row>
    <row r="1142" spans="2:10">
      <c r="B1142" s="25" t="str">
        <f ca="1">IFERROR(__xludf.DUMMYFUNCTION("""COMPUTED_VALUE"""),"MUNICIPALIDAD DISTRITAL")</f>
        <v>MUNICIPALIDAD DISTRITAL</v>
      </c>
      <c r="C1142" s="25" t="str">
        <f ca="1">IFERROR(__xludf.DUMMYFUNCTION("""COMPUTED_VALUE"""),"MUNICIPALIDAD DISTRITAL DE MASMA")</f>
        <v>MUNICIPALIDAD DISTRITAL DE MASMA</v>
      </c>
      <c r="D1142" s="25" t="str">
        <f ca="1">IFERROR(__xludf.DUMMYFUNCTION("""COMPUTED_VALUE"""),"JUNÍN")</f>
        <v>JUNÍN</v>
      </c>
      <c r="E1142" s="25" t="str">
        <f ca="1">IFERROR(__xludf.DUMMYFUNCTION("""COMPUTED_VALUE"""),"JUNÍN")</f>
        <v>JUNÍN</v>
      </c>
      <c r="F1142" s="25" t="str">
        <f ca="1">IFERROR(__xludf.DUMMYFUNCTION("""COMPUTED_VALUE"""),"JAUJA")</f>
        <v>JAUJA</v>
      </c>
      <c r="G1142" s="25" t="str">
        <f ca="1">IFERROR(__xludf.DUMMYFUNCTION("""COMPUTED_VALUE"""),"MASMA")</f>
        <v>MASMA</v>
      </c>
      <c r="H1142" s="25" t="str">
        <f ca="1">IFERROR(__xludf.DUMMYFUNCTION("""COMPUTED_VALUE"""),"RURAL")</f>
        <v>RURAL</v>
      </c>
      <c r="I1142" s="25" t="str">
        <f ca="1">IFERROR(__xludf.DUMMYFUNCTION("""COMPUTED_VALUE"""),"Prioridad 5")</f>
        <v>Prioridad 5</v>
      </c>
      <c r="J1142" s="43" t="s">
        <v>264</v>
      </c>
    </row>
    <row r="1143" spans="2:10">
      <c r="B1143" s="25" t="str">
        <f ca="1">IFERROR(__xludf.DUMMYFUNCTION("""COMPUTED_VALUE"""),"MUNICIPALIDAD DISTRITAL")</f>
        <v>MUNICIPALIDAD DISTRITAL</v>
      </c>
      <c r="C1143" s="25" t="str">
        <f ca="1">IFERROR(__xludf.DUMMYFUNCTION("""COMPUTED_VALUE"""),"MUNICIPALIDAD DISTRITAL DE MASMA CHICCHE")</f>
        <v>MUNICIPALIDAD DISTRITAL DE MASMA CHICCHE</v>
      </c>
      <c r="D1143" s="25" t="str">
        <f ca="1">IFERROR(__xludf.DUMMYFUNCTION("""COMPUTED_VALUE"""),"JUNÍN")</f>
        <v>JUNÍN</v>
      </c>
      <c r="E1143" s="25" t="str">
        <f ca="1">IFERROR(__xludf.DUMMYFUNCTION("""COMPUTED_VALUE"""),"JUNÍN")</f>
        <v>JUNÍN</v>
      </c>
      <c r="F1143" s="25" t="str">
        <f ca="1">IFERROR(__xludf.DUMMYFUNCTION("""COMPUTED_VALUE"""),"JAUJA")</f>
        <v>JAUJA</v>
      </c>
      <c r="G1143" s="25" t="str">
        <f ca="1">IFERROR(__xludf.DUMMYFUNCTION("""COMPUTED_VALUE"""),"MASMA CHICCHE")</f>
        <v>MASMA CHICCHE</v>
      </c>
      <c r="H1143" s="25" t="str">
        <f ca="1">IFERROR(__xludf.DUMMYFUNCTION("""COMPUTED_VALUE"""),"RURAL")</f>
        <v>RURAL</v>
      </c>
      <c r="I1143" s="25" t="str">
        <f ca="1">IFERROR(__xludf.DUMMYFUNCTION("""COMPUTED_VALUE"""),"Prioridad 5")</f>
        <v>Prioridad 5</v>
      </c>
      <c r="J1143" s="43" t="s">
        <v>264</v>
      </c>
    </row>
    <row r="1144" spans="2:10">
      <c r="B1144" s="25" t="str">
        <f ca="1">IFERROR(__xludf.DUMMYFUNCTION("""COMPUTED_VALUE"""),"OTROS")</f>
        <v>OTROS</v>
      </c>
      <c r="C1144" s="25" t="str">
        <f ca="1">IFERROR(__xludf.DUMMYFUNCTION("""COMPUTED_VALUE"""),"ESCUELA SUPERIOR DE FORMACIÓN ARTÍSTICA SÉRVULO GUTIÉRREZ ALARCÓN DE ICA")</f>
        <v>ESCUELA SUPERIOR DE FORMACIÓN ARTÍSTICA SÉRVULO GUTIÉRREZ ALARCÓN DE ICA</v>
      </c>
      <c r="D1144" s="25" t="str">
        <f ca="1">IFERROR(__xludf.DUMMYFUNCTION("""COMPUTED_VALUE"""),"ICA")</f>
        <v>ICA</v>
      </c>
      <c r="E1144" s="25" t="str">
        <f ca="1">IFERROR(__xludf.DUMMYFUNCTION("""COMPUTED_VALUE"""),"ICA")</f>
        <v>ICA</v>
      </c>
      <c r="F1144" s="25" t="str">
        <f ca="1">IFERROR(__xludf.DUMMYFUNCTION("""COMPUTED_VALUE"""),"ICA")</f>
        <v>ICA</v>
      </c>
      <c r="G1144" s="25" t="str">
        <f ca="1">IFERROR(__xludf.DUMMYFUNCTION("""COMPUTED_VALUE"""),"ICA")</f>
        <v>ICA</v>
      </c>
      <c r="H1144" s="25"/>
      <c r="I1144" s="25" t="str">
        <f ca="1">IFERROR(__xludf.DUMMYFUNCTION("""COMPUTED_VALUE"""),"No aplica")</f>
        <v>No aplica</v>
      </c>
      <c r="J1144" s="43" t="s">
        <v>264</v>
      </c>
    </row>
    <row r="1145" spans="2:10">
      <c r="B1145" s="25" t="str">
        <f ca="1">IFERROR(__xludf.DUMMYFUNCTION("""COMPUTED_VALUE"""),"OTROS")</f>
        <v>OTROS</v>
      </c>
      <c r="C1145" s="25" t="str">
        <f ca="1">IFERROR(__xludf.DUMMYFUNCTION("""COMPUTED_VALUE"""),"ESCUELA SUPERIOR DE MÚSICA PÚBLICA FRANCISCO PÉREZ ANAMPA")</f>
        <v>ESCUELA SUPERIOR DE MÚSICA PÚBLICA FRANCISCO PÉREZ ANAMPA</v>
      </c>
      <c r="D1145" s="25" t="str">
        <f ca="1">IFERROR(__xludf.DUMMYFUNCTION("""COMPUTED_VALUE"""),"ICA")</f>
        <v>ICA</v>
      </c>
      <c r="E1145" s="25" t="str">
        <f ca="1">IFERROR(__xludf.DUMMYFUNCTION("""COMPUTED_VALUE"""),"ICA")</f>
        <v>ICA</v>
      </c>
      <c r="F1145" s="25" t="str">
        <f ca="1">IFERROR(__xludf.DUMMYFUNCTION("""COMPUTED_VALUE"""),"ICA")</f>
        <v>ICA</v>
      </c>
      <c r="G1145" s="25" t="str">
        <f ca="1">IFERROR(__xludf.DUMMYFUNCTION("""COMPUTED_VALUE"""),"ICA")</f>
        <v>ICA</v>
      </c>
      <c r="H1145" s="25"/>
      <c r="I1145" s="25" t="str">
        <f ca="1">IFERROR(__xludf.DUMMYFUNCTION("""COMPUTED_VALUE"""),"No aplica")</f>
        <v>No aplica</v>
      </c>
      <c r="J1145" s="43" t="s">
        <v>264</v>
      </c>
    </row>
    <row r="1146" spans="2:10">
      <c r="B1146" s="25" t="str">
        <f ca="1">IFERROR(__xludf.DUMMYFUNCTION("""COMPUTED_VALUE"""),"MUNICIPALIDAD DISTRITAL")</f>
        <v>MUNICIPALIDAD DISTRITAL</v>
      </c>
      <c r="C1146" s="25" t="str">
        <f ca="1">IFERROR(__xludf.DUMMYFUNCTION("""COMPUTED_VALUE"""),"MUNICIPALIDAD DISTRITAL DE MOLINOS")</f>
        <v>MUNICIPALIDAD DISTRITAL DE MOLINOS</v>
      </c>
      <c r="D1146" s="25" t="str">
        <f ca="1">IFERROR(__xludf.DUMMYFUNCTION("""COMPUTED_VALUE"""),"JUNÍN")</f>
        <v>JUNÍN</v>
      </c>
      <c r="E1146" s="25" t="str">
        <f ca="1">IFERROR(__xludf.DUMMYFUNCTION("""COMPUTED_VALUE"""),"JUNÍN")</f>
        <v>JUNÍN</v>
      </c>
      <c r="F1146" s="25" t="str">
        <f ca="1">IFERROR(__xludf.DUMMYFUNCTION("""COMPUTED_VALUE"""),"JAUJA")</f>
        <v>JAUJA</v>
      </c>
      <c r="G1146" s="25" t="str">
        <f ca="1">IFERROR(__xludf.DUMMYFUNCTION("""COMPUTED_VALUE"""),"MOLINOS")</f>
        <v>MOLINOS</v>
      </c>
      <c r="H1146" s="25" t="str">
        <f ca="1">IFERROR(__xludf.DUMMYFUNCTION("""COMPUTED_VALUE"""),"RURAL")</f>
        <v>RURAL</v>
      </c>
      <c r="I1146" s="25" t="str">
        <f ca="1">IFERROR(__xludf.DUMMYFUNCTION("""COMPUTED_VALUE"""),"Prioridad 4")</f>
        <v>Prioridad 4</v>
      </c>
      <c r="J1146" s="43" t="s">
        <v>264</v>
      </c>
    </row>
    <row r="1147" spans="2:10">
      <c r="B1147" s="25" t="str">
        <f ca="1">IFERROR(__xludf.DUMMYFUNCTION("""COMPUTED_VALUE"""),"MUNICIPALIDAD DISTRITAL")</f>
        <v>MUNICIPALIDAD DISTRITAL</v>
      </c>
      <c r="C1147" s="25" t="str">
        <f ca="1">IFERROR(__xludf.DUMMYFUNCTION("""COMPUTED_VALUE"""),"MUNICIPALIDAD DISTRITAL DE MONOBAMBA")</f>
        <v>MUNICIPALIDAD DISTRITAL DE MONOBAMBA</v>
      </c>
      <c r="D1147" s="25" t="str">
        <f ca="1">IFERROR(__xludf.DUMMYFUNCTION("""COMPUTED_VALUE"""),"JUNÍN")</f>
        <v>JUNÍN</v>
      </c>
      <c r="E1147" s="25" t="str">
        <f ca="1">IFERROR(__xludf.DUMMYFUNCTION("""COMPUTED_VALUE"""),"JUNÍN")</f>
        <v>JUNÍN</v>
      </c>
      <c r="F1147" s="25" t="str">
        <f ca="1">IFERROR(__xludf.DUMMYFUNCTION("""COMPUTED_VALUE"""),"JAUJA")</f>
        <v>JAUJA</v>
      </c>
      <c r="G1147" s="25" t="str">
        <f ca="1">IFERROR(__xludf.DUMMYFUNCTION("""COMPUTED_VALUE"""),"MONOBAMBA")</f>
        <v>MONOBAMBA</v>
      </c>
      <c r="H1147" s="25" t="str">
        <f ca="1">IFERROR(__xludf.DUMMYFUNCTION("""COMPUTED_VALUE"""),"RURAL")</f>
        <v>RURAL</v>
      </c>
      <c r="I1147" s="25" t="str">
        <f ca="1">IFERROR(__xludf.DUMMYFUNCTION("""COMPUTED_VALUE"""),"Prioridad 3")</f>
        <v>Prioridad 3</v>
      </c>
      <c r="J1147" s="43" t="s">
        <v>264</v>
      </c>
    </row>
    <row r="1148" spans="2:10">
      <c r="B1148" s="25" t="str">
        <f ca="1">IFERROR(__xludf.DUMMYFUNCTION("""COMPUTED_VALUE"""),"MUNICIPALIDAD DISTRITAL")</f>
        <v>MUNICIPALIDAD DISTRITAL</v>
      </c>
      <c r="C1148" s="25" t="str">
        <f ca="1">IFERROR(__xludf.DUMMYFUNCTION("""COMPUTED_VALUE"""),"MUNICIPALIDAD DISTRITAL DE MUQUI")</f>
        <v>MUNICIPALIDAD DISTRITAL DE MUQUI</v>
      </c>
      <c r="D1148" s="25" t="str">
        <f ca="1">IFERROR(__xludf.DUMMYFUNCTION("""COMPUTED_VALUE"""),"JUNÍN")</f>
        <v>JUNÍN</v>
      </c>
      <c r="E1148" s="25" t="str">
        <f ca="1">IFERROR(__xludf.DUMMYFUNCTION("""COMPUTED_VALUE"""),"JUNÍN")</f>
        <v>JUNÍN</v>
      </c>
      <c r="F1148" s="25" t="str">
        <f ca="1">IFERROR(__xludf.DUMMYFUNCTION("""COMPUTED_VALUE"""),"JAUJA")</f>
        <v>JAUJA</v>
      </c>
      <c r="G1148" s="25" t="str">
        <f ca="1">IFERROR(__xludf.DUMMYFUNCTION("""COMPUTED_VALUE"""),"MUQUI")</f>
        <v>MUQUI</v>
      </c>
      <c r="H1148" s="25" t="str">
        <f ca="1">IFERROR(__xludf.DUMMYFUNCTION("""COMPUTED_VALUE"""),"RURAL")</f>
        <v>RURAL</v>
      </c>
      <c r="I1148" s="25" t="str">
        <f ca="1">IFERROR(__xludf.DUMMYFUNCTION("""COMPUTED_VALUE"""),"Prioridad 2")</f>
        <v>Prioridad 2</v>
      </c>
      <c r="J1148" s="43" t="s">
        <v>264</v>
      </c>
    </row>
    <row r="1149" spans="2:10">
      <c r="B1149" s="25" t="str">
        <f ca="1">IFERROR(__xludf.DUMMYFUNCTION("""COMPUTED_VALUE"""),"MUNICIPALIDAD DISTRITAL")</f>
        <v>MUNICIPALIDAD DISTRITAL</v>
      </c>
      <c r="C1149" s="25" t="str">
        <f ca="1">IFERROR(__xludf.DUMMYFUNCTION("""COMPUTED_VALUE"""),"MUNICIPALIDAD DISTRITAL DE MUQUIYAUYO")</f>
        <v>MUNICIPALIDAD DISTRITAL DE MUQUIYAUYO</v>
      </c>
      <c r="D1149" s="25" t="str">
        <f ca="1">IFERROR(__xludf.DUMMYFUNCTION("""COMPUTED_VALUE"""),"JUNÍN")</f>
        <v>JUNÍN</v>
      </c>
      <c r="E1149" s="25" t="str">
        <f ca="1">IFERROR(__xludf.DUMMYFUNCTION("""COMPUTED_VALUE"""),"JUNÍN")</f>
        <v>JUNÍN</v>
      </c>
      <c r="F1149" s="25" t="str">
        <f ca="1">IFERROR(__xludf.DUMMYFUNCTION("""COMPUTED_VALUE"""),"JAUJA")</f>
        <v>JAUJA</v>
      </c>
      <c r="G1149" s="25" t="str">
        <f ca="1">IFERROR(__xludf.DUMMYFUNCTION("""COMPUTED_VALUE"""),"MUQUIYAUYO")</f>
        <v>MUQUIYAUYO</v>
      </c>
      <c r="H1149" s="25" t="str">
        <f ca="1">IFERROR(__xludf.DUMMYFUNCTION("""COMPUTED_VALUE"""),"URBANO")</f>
        <v>URBANO</v>
      </c>
      <c r="I1149" s="25" t="str">
        <f ca="1">IFERROR(__xludf.DUMMYFUNCTION("""COMPUTED_VALUE"""),"Prioridad 2")</f>
        <v>Prioridad 2</v>
      </c>
      <c r="J1149" s="43" t="s">
        <v>264</v>
      </c>
    </row>
    <row r="1150" spans="2:10">
      <c r="B1150" s="25" t="str">
        <f ca="1">IFERROR(__xludf.DUMMYFUNCTION("""COMPUTED_VALUE"""),"MUNICIPALIDAD DISTRITAL")</f>
        <v>MUNICIPALIDAD DISTRITAL</v>
      </c>
      <c r="C1150" s="25" t="str">
        <f ca="1">IFERROR(__xludf.DUMMYFUNCTION("""COMPUTED_VALUE"""),"MUNICIPALIDAD DISTRITAL DE PACA")</f>
        <v>MUNICIPALIDAD DISTRITAL DE PACA</v>
      </c>
      <c r="D1150" s="25" t="str">
        <f ca="1">IFERROR(__xludf.DUMMYFUNCTION("""COMPUTED_VALUE"""),"JUNÍN")</f>
        <v>JUNÍN</v>
      </c>
      <c r="E1150" s="25" t="str">
        <f ca="1">IFERROR(__xludf.DUMMYFUNCTION("""COMPUTED_VALUE"""),"JUNÍN")</f>
        <v>JUNÍN</v>
      </c>
      <c r="F1150" s="25" t="str">
        <f ca="1">IFERROR(__xludf.DUMMYFUNCTION("""COMPUTED_VALUE"""),"JAUJA")</f>
        <v>JAUJA</v>
      </c>
      <c r="G1150" s="25" t="str">
        <f ca="1">IFERROR(__xludf.DUMMYFUNCTION("""COMPUTED_VALUE"""),"PACA")</f>
        <v>PACA</v>
      </c>
      <c r="H1150" s="25" t="str">
        <f ca="1">IFERROR(__xludf.DUMMYFUNCTION("""COMPUTED_VALUE"""),"RURAL")</f>
        <v>RURAL</v>
      </c>
      <c r="I1150" s="25" t="str">
        <f ca="1">IFERROR(__xludf.DUMMYFUNCTION("""COMPUTED_VALUE"""),"Prioridad 5")</f>
        <v>Prioridad 5</v>
      </c>
      <c r="J1150" s="43" t="s">
        <v>264</v>
      </c>
    </row>
    <row r="1151" spans="2:10">
      <c r="B1151" s="25" t="str">
        <f ca="1">IFERROR(__xludf.DUMMYFUNCTION("""COMPUTED_VALUE"""),"MUNICIPALIDAD DISTRITAL")</f>
        <v>MUNICIPALIDAD DISTRITAL</v>
      </c>
      <c r="C1151" s="25" t="str">
        <f ca="1">IFERROR(__xludf.DUMMYFUNCTION("""COMPUTED_VALUE"""),"MUNICIPALIDAD DISTRITAL DE PACCHA EN JAUJA")</f>
        <v>MUNICIPALIDAD DISTRITAL DE PACCHA EN JAUJA</v>
      </c>
      <c r="D1151" s="25" t="str">
        <f ca="1">IFERROR(__xludf.DUMMYFUNCTION("""COMPUTED_VALUE"""),"JUNÍN")</f>
        <v>JUNÍN</v>
      </c>
      <c r="E1151" s="25" t="str">
        <f ca="1">IFERROR(__xludf.DUMMYFUNCTION("""COMPUTED_VALUE"""),"JUNÍN")</f>
        <v>JUNÍN</v>
      </c>
      <c r="F1151" s="25" t="str">
        <f ca="1">IFERROR(__xludf.DUMMYFUNCTION("""COMPUTED_VALUE"""),"JAUJA")</f>
        <v>JAUJA</v>
      </c>
      <c r="G1151" s="25" t="str">
        <f ca="1">IFERROR(__xludf.DUMMYFUNCTION("""COMPUTED_VALUE"""),"PACCHA")</f>
        <v>PACCHA</v>
      </c>
      <c r="H1151" s="25" t="str">
        <f ca="1">IFERROR(__xludf.DUMMYFUNCTION("""COMPUTED_VALUE"""),"RURAL")</f>
        <v>RURAL</v>
      </c>
      <c r="I1151" s="25" t="str">
        <f ca="1">IFERROR(__xludf.DUMMYFUNCTION("""COMPUTED_VALUE"""),"Prioridad 5")</f>
        <v>Prioridad 5</v>
      </c>
      <c r="J1151" s="43" t="s">
        <v>264</v>
      </c>
    </row>
    <row r="1152" spans="2:10">
      <c r="B1152" s="25" t="str">
        <f ca="1">IFERROR(__xludf.DUMMYFUNCTION("""COMPUTED_VALUE"""),"MUNICIPALIDAD DISTRITAL")</f>
        <v>MUNICIPALIDAD DISTRITAL</v>
      </c>
      <c r="C1152" s="25" t="str">
        <f ca="1">IFERROR(__xludf.DUMMYFUNCTION("""COMPUTED_VALUE"""),"MUNICIPALIDAD DISTRITAL DE PANCAN")</f>
        <v>MUNICIPALIDAD DISTRITAL DE PANCAN</v>
      </c>
      <c r="D1152" s="25" t="str">
        <f ca="1">IFERROR(__xludf.DUMMYFUNCTION("""COMPUTED_VALUE"""),"JUNÍN")</f>
        <v>JUNÍN</v>
      </c>
      <c r="E1152" s="25" t="str">
        <f ca="1">IFERROR(__xludf.DUMMYFUNCTION("""COMPUTED_VALUE"""),"JUNÍN")</f>
        <v>JUNÍN</v>
      </c>
      <c r="F1152" s="25" t="str">
        <f ca="1">IFERROR(__xludf.DUMMYFUNCTION("""COMPUTED_VALUE"""),"JAUJA")</f>
        <v>JAUJA</v>
      </c>
      <c r="G1152" s="25" t="str">
        <f ca="1">IFERROR(__xludf.DUMMYFUNCTION("""COMPUTED_VALUE"""),"PANCAN")</f>
        <v>PANCAN</v>
      </c>
      <c r="H1152" s="25" t="str">
        <f ca="1">IFERROR(__xludf.DUMMYFUNCTION("""COMPUTED_VALUE"""),"RURAL")</f>
        <v>RURAL</v>
      </c>
      <c r="I1152" s="25" t="str">
        <f ca="1">IFERROR(__xludf.DUMMYFUNCTION("""COMPUTED_VALUE"""),"Prioridad 3")</f>
        <v>Prioridad 3</v>
      </c>
      <c r="J1152" s="43" t="s">
        <v>264</v>
      </c>
    </row>
    <row r="1153" spans="2:10">
      <c r="B1153" s="25" t="str">
        <f ca="1">IFERROR(__xludf.DUMMYFUNCTION("""COMPUTED_VALUE"""),"MUNICIPALIDAD DISTRITAL")</f>
        <v>MUNICIPALIDAD DISTRITAL</v>
      </c>
      <c r="C1153" s="25" t="str">
        <f ca="1">IFERROR(__xludf.DUMMYFUNCTION("""COMPUTED_VALUE"""),"MUNICIPALIDAD DISTRITAL DE PARCO")</f>
        <v>MUNICIPALIDAD DISTRITAL DE PARCO</v>
      </c>
      <c r="D1153" s="25" t="str">
        <f ca="1">IFERROR(__xludf.DUMMYFUNCTION("""COMPUTED_VALUE"""),"JUNÍN")</f>
        <v>JUNÍN</v>
      </c>
      <c r="E1153" s="25" t="str">
        <f ca="1">IFERROR(__xludf.DUMMYFUNCTION("""COMPUTED_VALUE"""),"JUNÍN")</f>
        <v>JUNÍN</v>
      </c>
      <c r="F1153" s="25" t="str">
        <f ca="1">IFERROR(__xludf.DUMMYFUNCTION("""COMPUTED_VALUE"""),"JAUJA")</f>
        <v>JAUJA</v>
      </c>
      <c r="G1153" s="25" t="str">
        <f ca="1">IFERROR(__xludf.DUMMYFUNCTION("""COMPUTED_VALUE"""),"PARCO")</f>
        <v>PARCO</v>
      </c>
      <c r="H1153" s="25" t="str">
        <f ca="1">IFERROR(__xludf.DUMMYFUNCTION("""COMPUTED_VALUE"""),"RURAL")</f>
        <v>RURAL</v>
      </c>
      <c r="I1153" s="25" t="str">
        <f ca="1">IFERROR(__xludf.DUMMYFUNCTION("""COMPUTED_VALUE"""),"Prioridad 2")</f>
        <v>Prioridad 2</v>
      </c>
      <c r="J1153" s="43" t="s">
        <v>264</v>
      </c>
    </row>
    <row r="1154" spans="2:10">
      <c r="B1154" s="25" t="str">
        <f ca="1">IFERROR(__xludf.DUMMYFUNCTION("""COMPUTED_VALUE"""),"MUNICIPALIDAD DISTRITAL")</f>
        <v>MUNICIPALIDAD DISTRITAL</v>
      </c>
      <c r="C1154" s="25" t="str">
        <f ca="1">IFERROR(__xludf.DUMMYFUNCTION("""COMPUTED_VALUE"""),"MUNICIPALIDAD DISTRITAL DE POMACANCHA")</f>
        <v>MUNICIPALIDAD DISTRITAL DE POMACANCHA</v>
      </c>
      <c r="D1154" s="25" t="str">
        <f ca="1">IFERROR(__xludf.DUMMYFUNCTION("""COMPUTED_VALUE"""),"JUNÍN")</f>
        <v>JUNÍN</v>
      </c>
      <c r="E1154" s="25" t="str">
        <f ca="1">IFERROR(__xludf.DUMMYFUNCTION("""COMPUTED_VALUE"""),"JUNÍN")</f>
        <v>JUNÍN</v>
      </c>
      <c r="F1154" s="25" t="str">
        <f ca="1">IFERROR(__xludf.DUMMYFUNCTION("""COMPUTED_VALUE"""),"JAUJA")</f>
        <v>JAUJA</v>
      </c>
      <c r="G1154" s="25" t="str">
        <f ca="1">IFERROR(__xludf.DUMMYFUNCTION("""COMPUTED_VALUE"""),"POMACANCHA")</f>
        <v>POMACANCHA</v>
      </c>
      <c r="H1154" s="25" t="str">
        <f ca="1">IFERROR(__xludf.DUMMYFUNCTION("""COMPUTED_VALUE"""),"RURAL")</f>
        <v>RURAL</v>
      </c>
      <c r="I1154" s="25" t="str">
        <f ca="1">IFERROR(__xludf.DUMMYFUNCTION("""COMPUTED_VALUE"""),"Prioridad 5")</f>
        <v>Prioridad 5</v>
      </c>
      <c r="J1154" s="43" t="s">
        <v>264</v>
      </c>
    </row>
    <row r="1155" spans="2:10">
      <c r="B1155" s="25" t="str">
        <f ca="1">IFERROR(__xludf.DUMMYFUNCTION("""COMPUTED_VALUE"""),"MUNICIPALIDAD DISTRITAL")</f>
        <v>MUNICIPALIDAD DISTRITAL</v>
      </c>
      <c r="C1155" s="25" t="str">
        <f ca="1">IFERROR(__xludf.DUMMYFUNCTION("""COMPUTED_VALUE"""),"MUNICIPALIDAD DISTRITAL DE RICRAN")</f>
        <v>MUNICIPALIDAD DISTRITAL DE RICRAN</v>
      </c>
      <c r="D1155" s="25" t="str">
        <f ca="1">IFERROR(__xludf.DUMMYFUNCTION("""COMPUTED_VALUE"""),"JUNÍN")</f>
        <v>JUNÍN</v>
      </c>
      <c r="E1155" s="25" t="str">
        <f ca="1">IFERROR(__xludf.DUMMYFUNCTION("""COMPUTED_VALUE"""),"JUNÍN")</f>
        <v>JUNÍN</v>
      </c>
      <c r="F1155" s="25" t="str">
        <f ca="1">IFERROR(__xludf.DUMMYFUNCTION("""COMPUTED_VALUE"""),"JAUJA")</f>
        <v>JAUJA</v>
      </c>
      <c r="G1155" s="25" t="str">
        <f ca="1">IFERROR(__xludf.DUMMYFUNCTION("""COMPUTED_VALUE"""),"RICRAN")</f>
        <v>RICRAN</v>
      </c>
      <c r="H1155" s="25" t="str">
        <f ca="1">IFERROR(__xludf.DUMMYFUNCTION("""COMPUTED_VALUE"""),"RURAL")</f>
        <v>RURAL</v>
      </c>
      <c r="I1155" s="25" t="str">
        <f ca="1">IFERROR(__xludf.DUMMYFUNCTION("""COMPUTED_VALUE"""),"Prioridad 5")</f>
        <v>Prioridad 5</v>
      </c>
      <c r="J1155" s="43" t="s">
        <v>264</v>
      </c>
    </row>
    <row r="1156" spans="2:10">
      <c r="B1156" s="25" t="str">
        <f ca="1">IFERROR(__xludf.DUMMYFUNCTION("""COMPUTED_VALUE"""),"MUNICIPALIDAD DISTRITAL")</f>
        <v>MUNICIPALIDAD DISTRITAL</v>
      </c>
      <c r="C1156" s="25" t="str">
        <f ca="1">IFERROR(__xludf.DUMMYFUNCTION("""COMPUTED_VALUE"""),"MUNICIPALIDAD DISTRITAL DE SAN LORENZO")</f>
        <v>MUNICIPALIDAD DISTRITAL DE SAN LORENZO</v>
      </c>
      <c r="D1156" s="25" t="str">
        <f ca="1">IFERROR(__xludf.DUMMYFUNCTION("""COMPUTED_VALUE"""),"JUNÍN")</f>
        <v>JUNÍN</v>
      </c>
      <c r="E1156" s="25" t="str">
        <f ca="1">IFERROR(__xludf.DUMMYFUNCTION("""COMPUTED_VALUE"""),"JUNÍN")</f>
        <v>JUNÍN</v>
      </c>
      <c r="F1156" s="25" t="str">
        <f ca="1">IFERROR(__xludf.DUMMYFUNCTION("""COMPUTED_VALUE"""),"JAUJA")</f>
        <v>JAUJA</v>
      </c>
      <c r="G1156" s="25" t="str">
        <f ca="1">IFERROR(__xludf.DUMMYFUNCTION("""COMPUTED_VALUE"""),"SAN LORENZO")</f>
        <v>SAN LORENZO</v>
      </c>
      <c r="H1156" s="25" t="str">
        <f ca="1">IFERROR(__xludf.DUMMYFUNCTION("""COMPUTED_VALUE"""),"URBANO")</f>
        <v>URBANO</v>
      </c>
      <c r="I1156" s="25" t="str">
        <f ca="1">IFERROR(__xludf.DUMMYFUNCTION("""COMPUTED_VALUE"""),"Prioridad 2")</f>
        <v>Prioridad 2</v>
      </c>
      <c r="J1156" s="43" t="s">
        <v>264</v>
      </c>
    </row>
    <row r="1157" spans="2:10">
      <c r="B1157" s="25" t="str">
        <f ca="1">IFERROR(__xludf.DUMMYFUNCTION("""COMPUTED_VALUE"""),"MUNICIPALIDAD DISTRITAL")</f>
        <v>MUNICIPALIDAD DISTRITAL</v>
      </c>
      <c r="C1157" s="25" t="str">
        <f ca="1">IFERROR(__xludf.DUMMYFUNCTION("""COMPUTED_VALUE"""),"MUNICIPALIDAD DISTRITAL DE SAN PEDRO DE CHUNAN")</f>
        <v>MUNICIPALIDAD DISTRITAL DE SAN PEDRO DE CHUNAN</v>
      </c>
      <c r="D1157" s="25" t="str">
        <f ca="1">IFERROR(__xludf.DUMMYFUNCTION("""COMPUTED_VALUE"""),"JUNÍN")</f>
        <v>JUNÍN</v>
      </c>
      <c r="E1157" s="25" t="str">
        <f ca="1">IFERROR(__xludf.DUMMYFUNCTION("""COMPUTED_VALUE"""),"JUNÍN")</f>
        <v>JUNÍN</v>
      </c>
      <c r="F1157" s="25" t="str">
        <f ca="1">IFERROR(__xludf.DUMMYFUNCTION("""COMPUTED_VALUE"""),"JAUJA")</f>
        <v>JAUJA</v>
      </c>
      <c r="G1157" s="25" t="str">
        <f ca="1">IFERROR(__xludf.DUMMYFUNCTION("""COMPUTED_VALUE"""),"SAN PEDRO DE CHUNAN")</f>
        <v>SAN PEDRO DE CHUNAN</v>
      </c>
      <c r="H1157" s="25" t="str">
        <f ca="1">IFERROR(__xludf.DUMMYFUNCTION("""COMPUTED_VALUE"""),"RURAL")</f>
        <v>RURAL</v>
      </c>
      <c r="I1157" s="25" t="str">
        <f ca="1">IFERROR(__xludf.DUMMYFUNCTION("""COMPUTED_VALUE"""),"Prioridad 2")</f>
        <v>Prioridad 2</v>
      </c>
      <c r="J1157" s="43" t="s">
        <v>264</v>
      </c>
    </row>
    <row r="1158" spans="2:10">
      <c r="B1158" s="25" t="str">
        <f ca="1">IFERROR(__xludf.DUMMYFUNCTION("""COMPUTED_VALUE"""),"MUNICIPALIDAD DISTRITAL")</f>
        <v>MUNICIPALIDAD DISTRITAL</v>
      </c>
      <c r="C1158" s="25" t="str">
        <f ca="1">IFERROR(__xludf.DUMMYFUNCTION("""COMPUTED_VALUE"""),"MUNICIPALIDAD DISTRITAL DE SAUSA")</f>
        <v>MUNICIPALIDAD DISTRITAL DE SAUSA</v>
      </c>
      <c r="D1158" s="25" t="str">
        <f ca="1">IFERROR(__xludf.DUMMYFUNCTION("""COMPUTED_VALUE"""),"JUNÍN")</f>
        <v>JUNÍN</v>
      </c>
      <c r="E1158" s="25" t="str">
        <f ca="1">IFERROR(__xludf.DUMMYFUNCTION("""COMPUTED_VALUE"""),"JUNÍN")</f>
        <v>JUNÍN</v>
      </c>
      <c r="F1158" s="25" t="str">
        <f ca="1">IFERROR(__xludf.DUMMYFUNCTION("""COMPUTED_VALUE"""),"JAUJA")</f>
        <v>JAUJA</v>
      </c>
      <c r="G1158" s="25" t="str">
        <f ca="1">IFERROR(__xludf.DUMMYFUNCTION("""COMPUTED_VALUE"""),"SAUSA")</f>
        <v>SAUSA</v>
      </c>
      <c r="H1158" s="25" t="str">
        <f ca="1">IFERROR(__xludf.DUMMYFUNCTION("""COMPUTED_VALUE"""),"URBANO")</f>
        <v>URBANO</v>
      </c>
      <c r="I1158" s="25" t="str">
        <f ca="1">IFERROR(__xludf.DUMMYFUNCTION("""COMPUTED_VALUE"""),"Prioridad 2")</f>
        <v>Prioridad 2</v>
      </c>
      <c r="J1158" s="43" t="s">
        <v>264</v>
      </c>
    </row>
    <row r="1159" spans="2:10">
      <c r="B1159" s="25" t="str">
        <f ca="1">IFERROR(__xludf.DUMMYFUNCTION("""COMPUTED_VALUE"""),"MUNICIPALIDAD DISTRITAL")</f>
        <v>MUNICIPALIDAD DISTRITAL</v>
      </c>
      <c r="C1159" s="25" t="str">
        <f ca="1">IFERROR(__xludf.DUMMYFUNCTION("""COMPUTED_VALUE"""),"MUNICIPALIDAD DISTRITAL DE SINCOS")</f>
        <v>MUNICIPALIDAD DISTRITAL DE SINCOS</v>
      </c>
      <c r="D1159" s="25" t="str">
        <f ca="1">IFERROR(__xludf.DUMMYFUNCTION("""COMPUTED_VALUE"""),"JUNÍN")</f>
        <v>JUNÍN</v>
      </c>
      <c r="E1159" s="25" t="str">
        <f ca="1">IFERROR(__xludf.DUMMYFUNCTION("""COMPUTED_VALUE"""),"JUNÍN")</f>
        <v>JUNÍN</v>
      </c>
      <c r="F1159" s="25" t="str">
        <f ca="1">IFERROR(__xludf.DUMMYFUNCTION("""COMPUTED_VALUE"""),"JAUJA")</f>
        <v>JAUJA</v>
      </c>
      <c r="G1159" s="25" t="str">
        <f ca="1">IFERROR(__xludf.DUMMYFUNCTION("""COMPUTED_VALUE"""),"SINCOS")</f>
        <v>SINCOS</v>
      </c>
      <c r="H1159" s="25" t="str">
        <f ca="1">IFERROR(__xludf.DUMMYFUNCTION("""COMPUTED_VALUE"""),"RURAL")</f>
        <v>RURAL</v>
      </c>
      <c r="I1159" s="25" t="str">
        <f ca="1">IFERROR(__xludf.DUMMYFUNCTION("""COMPUTED_VALUE"""),"Prioridad 5")</f>
        <v>Prioridad 5</v>
      </c>
      <c r="J1159" s="43" t="s">
        <v>264</v>
      </c>
    </row>
    <row r="1160" spans="2:10">
      <c r="B1160" s="25" t="str">
        <f ca="1">IFERROR(__xludf.DUMMYFUNCTION("""COMPUTED_VALUE"""),"MUNICIPALIDAD DISTRITAL")</f>
        <v>MUNICIPALIDAD DISTRITAL</v>
      </c>
      <c r="C1160" s="25" t="str">
        <f ca="1">IFERROR(__xludf.DUMMYFUNCTION("""COMPUTED_VALUE"""),"MUNICIPALIDAD DISTRITAL DE TUNAN MARCA")</f>
        <v>MUNICIPALIDAD DISTRITAL DE TUNAN MARCA</v>
      </c>
      <c r="D1160" s="25" t="str">
        <f ca="1">IFERROR(__xludf.DUMMYFUNCTION("""COMPUTED_VALUE"""),"JUNÍN")</f>
        <v>JUNÍN</v>
      </c>
      <c r="E1160" s="25" t="str">
        <f ca="1">IFERROR(__xludf.DUMMYFUNCTION("""COMPUTED_VALUE"""),"JUNÍN")</f>
        <v>JUNÍN</v>
      </c>
      <c r="F1160" s="25" t="str">
        <f ca="1">IFERROR(__xludf.DUMMYFUNCTION("""COMPUTED_VALUE"""),"JAUJA")</f>
        <v>JAUJA</v>
      </c>
      <c r="G1160" s="25" t="str">
        <f ca="1">IFERROR(__xludf.DUMMYFUNCTION("""COMPUTED_VALUE"""),"TUNAN MARCA")</f>
        <v>TUNAN MARCA</v>
      </c>
      <c r="H1160" s="25" t="str">
        <f ca="1">IFERROR(__xludf.DUMMYFUNCTION("""COMPUTED_VALUE"""),"RURAL")</f>
        <v>RURAL</v>
      </c>
      <c r="I1160" s="25" t="str">
        <f ca="1">IFERROR(__xludf.DUMMYFUNCTION("""COMPUTED_VALUE"""),"Prioridad 4")</f>
        <v>Prioridad 4</v>
      </c>
      <c r="J1160" s="43" t="s">
        <v>264</v>
      </c>
    </row>
    <row r="1161" spans="2:10">
      <c r="B1161" s="25" t="str">
        <f ca="1">IFERROR(__xludf.DUMMYFUNCTION("""COMPUTED_VALUE"""),"MUNICIPALIDAD DISTRITAL")</f>
        <v>MUNICIPALIDAD DISTRITAL</v>
      </c>
      <c r="C1161" s="25" t="str">
        <f ca="1">IFERROR(__xludf.DUMMYFUNCTION("""COMPUTED_VALUE"""),"MUNICIPALIDAD DISTRITAL DE YAULI EN JAUJA")</f>
        <v>MUNICIPALIDAD DISTRITAL DE YAULI EN JAUJA</v>
      </c>
      <c r="D1161" s="25" t="str">
        <f ca="1">IFERROR(__xludf.DUMMYFUNCTION("""COMPUTED_VALUE"""),"JUNÍN")</f>
        <v>JUNÍN</v>
      </c>
      <c r="E1161" s="25" t="str">
        <f ca="1">IFERROR(__xludf.DUMMYFUNCTION("""COMPUTED_VALUE"""),"JUNÍN")</f>
        <v>JUNÍN</v>
      </c>
      <c r="F1161" s="25" t="str">
        <f ca="1">IFERROR(__xludf.DUMMYFUNCTION("""COMPUTED_VALUE"""),"JAUJA")</f>
        <v>JAUJA</v>
      </c>
      <c r="G1161" s="25" t="str">
        <f ca="1">IFERROR(__xludf.DUMMYFUNCTION("""COMPUTED_VALUE"""),"YAULI")</f>
        <v>YAULI</v>
      </c>
      <c r="H1161" s="25" t="str">
        <f ca="1">IFERROR(__xludf.DUMMYFUNCTION("""COMPUTED_VALUE"""),"RURAL")</f>
        <v>RURAL</v>
      </c>
      <c r="I1161" s="25" t="str">
        <f ca="1">IFERROR(__xludf.DUMMYFUNCTION("""COMPUTED_VALUE"""),"Prioridad 2")</f>
        <v>Prioridad 2</v>
      </c>
      <c r="J1161" s="43" t="s">
        <v>264</v>
      </c>
    </row>
    <row r="1162" spans="2:10">
      <c r="B1162" s="25" t="str">
        <f ca="1">IFERROR(__xludf.DUMMYFUNCTION("""COMPUTED_VALUE"""),"MUNICIPALIDAD DISTRITAL")</f>
        <v>MUNICIPALIDAD DISTRITAL</v>
      </c>
      <c r="C1162" s="25" t="str">
        <f ca="1">IFERROR(__xludf.DUMMYFUNCTION("""COMPUTED_VALUE"""),"MUNICIPALIDAD DISTRITAL DE YAUYOS")</f>
        <v>MUNICIPALIDAD DISTRITAL DE YAUYOS</v>
      </c>
      <c r="D1162" s="25" t="str">
        <f ca="1">IFERROR(__xludf.DUMMYFUNCTION("""COMPUTED_VALUE"""),"JUNÍN")</f>
        <v>JUNÍN</v>
      </c>
      <c r="E1162" s="25" t="str">
        <f ca="1">IFERROR(__xludf.DUMMYFUNCTION("""COMPUTED_VALUE"""),"JUNÍN")</f>
        <v>JUNÍN</v>
      </c>
      <c r="F1162" s="25" t="str">
        <f ca="1">IFERROR(__xludf.DUMMYFUNCTION("""COMPUTED_VALUE"""),"JAUJA")</f>
        <v>JAUJA</v>
      </c>
      <c r="G1162" s="25" t="str">
        <f ca="1">IFERROR(__xludf.DUMMYFUNCTION("""COMPUTED_VALUE"""),"YAUYOS")</f>
        <v>YAUYOS</v>
      </c>
      <c r="H1162" s="25" t="str">
        <f ca="1">IFERROR(__xludf.DUMMYFUNCTION("""COMPUTED_VALUE"""),"URBANO")</f>
        <v>URBANO</v>
      </c>
      <c r="I1162" s="25" t="str">
        <f ca="1">IFERROR(__xludf.DUMMYFUNCTION("""COMPUTED_VALUE"""),"Prioridad 1")</f>
        <v>Prioridad 1</v>
      </c>
      <c r="J1162" s="43" t="s">
        <v>264</v>
      </c>
    </row>
    <row r="1163" spans="2:10">
      <c r="B1163" s="25" t="str">
        <f ca="1">IFERROR(__xludf.DUMMYFUNCTION("""COMPUTED_VALUE"""),"MUNICIPALIDAD PROVINCIAL")</f>
        <v>MUNICIPALIDAD PROVINCIAL</v>
      </c>
      <c r="C1163" s="25" t="str">
        <f ca="1">IFERROR(__xludf.DUMMYFUNCTION("""COMPUTED_VALUE"""),"MUNICIPALIDAD PROVINCIAL DE JUNIN")</f>
        <v>MUNICIPALIDAD PROVINCIAL DE JUNIN</v>
      </c>
      <c r="D1163" s="25" t="str">
        <f ca="1">IFERROR(__xludf.DUMMYFUNCTION("""COMPUTED_VALUE"""),"JUNÍN")</f>
        <v>JUNÍN</v>
      </c>
      <c r="E1163" s="25" t="str">
        <f ca="1">IFERROR(__xludf.DUMMYFUNCTION("""COMPUTED_VALUE"""),"JUNÍN")</f>
        <v>JUNÍN</v>
      </c>
      <c r="F1163" s="25" t="str">
        <f ca="1">IFERROR(__xludf.DUMMYFUNCTION("""COMPUTED_VALUE"""),"JUNIN")</f>
        <v>JUNIN</v>
      </c>
      <c r="G1163" s="25" t="str">
        <f ca="1">IFERROR(__xludf.DUMMYFUNCTION("""COMPUTED_VALUE"""),"JUNIN")</f>
        <v>JUNIN</v>
      </c>
      <c r="H1163" s="25" t="str">
        <f ca="1">IFERROR(__xludf.DUMMYFUNCTION("""COMPUTED_VALUE"""),"URBANO")</f>
        <v>URBANO</v>
      </c>
      <c r="I1163" s="25" t="str">
        <f ca="1">IFERROR(__xludf.DUMMYFUNCTION("""COMPUTED_VALUE"""),"Prioridad 1")</f>
        <v>Prioridad 1</v>
      </c>
      <c r="J1163" s="43" t="s">
        <v>264</v>
      </c>
    </row>
    <row r="1164" spans="2:10">
      <c r="B1164" s="25" t="str">
        <f ca="1">IFERROR(__xludf.DUMMYFUNCTION("""COMPUTED_VALUE"""),"MUNICIPALIDAD DISTRITAL")</f>
        <v>MUNICIPALIDAD DISTRITAL</v>
      </c>
      <c r="C1164" s="25" t="str">
        <f ca="1">IFERROR(__xludf.DUMMYFUNCTION("""COMPUTED_VALUE"""),"MUNICIPALIDAD DISTRITAL DE CARHUAMAYO")</f>
        <v>MUNICIPALIDAD DISTRITAL DE CARHUAMAYO</v>
      </c>
      <c r="D1164" s="25" t="str">
        <f ca="1">IFERROR(__xludf.DUMMYFUNCTION("""COMPUTED_VALUE"""),"JUNÍN")</f>
        <v>JUNÍN</v>
      </c>
      <c r="E1164" s="25" t="str">
        <f ca="1">IFERROR(__xludf.DUMMYFUNCTION("""COMPUTED_VALUE"""),"JUNÍN")</f>
        <v>JUNÍN</v>
      </c>
      <c r="F1164" s="25" t="str">
        <f ca="1">IFERROR(__xludf.DUMMYFUNCTION("""COMPUTED_VALUE"""),"JUNIN")</f>
        <v>JUNIN</v>
      </c>
      <c r="G1164" s="25" t="str">
        <f ca="1">IFERROR(__xludf.DUMMYFUNCTION("""COMPUTED_VALUE"""),"CARHUAMAYO")</f>
        <v>CARHUAMAYO</v>
      </c>
      <c r="H1164" s="25" t="str">
        <f ca="1">IFERROR(__xludf.DUMMYFUNCTION("""COMPUTED_VALUE"""),"URBANO")</f>
        <v>URBANO</v>
      </c>
      <c r="I1164" s="25" t="str">
        <f ca="1">IFERROR(__xludf.DUMMYFUNCTION("""COMPUTED_VALUE"""),"Prioridad 4")</f>
        <v>Prioridad 4</v>
      </c>
      <c r="J1164" s="43" t="s">
        <v>264</v>
      </c>
    </row>
    <row r="1165" spans="2:10">
      <c r="B1165" s="25" t="str">
        <f ca="1">IFERROR(__xludf.DUMMYFUNCTION("""COMPUTED_VALUE"""),"MUNICIPALIDAD DISTRITAL")</f>
        <v>MUNICIPALIDAD DISTRITAL</v>
      </c>
      <c r="C1165" s="25" t="str">
        <f ca="1">IFERROR(__xludf.DUMMYFUNCTION("""COMPUTED_VALUE"""),"MUNICIPALIDAD DISTRITAL DE ONDORES")</f>
        <v>MUNICIPALIDAD DISTRITAL DE ONDORES</v>
      </c>
      <c r="D1165" s="25" t="str">
        <f ca="1">IFERROR(__xludf.DUMMYFUNCTION("""COMPUTED_VALUE"""),"JUNÍN")</f>
        <v>JUNÍN</v>
      </c>
      <c r="E1165" s="25" t="str">
        <f ca="1">IFERROR(__xludf.DUMMYFUNCTION("""COMPUTED_VALUE"""),"JUNÍN")</f>
        <v>JUNÍN</v>
      </c>
      <c r="F1165" s="25" t="str">
        <f ca="1">IFERROR(__xludf.DUMMYFUNCTION("""COMPUTED_VALUE"""),"JUNIN")</f>
        <v>JUNIN</v>
      </c>
      <c r="G1165" s="25" t="str">
        <f ca="1">IFERROR(__xludf.DUMMYFUNCTION("""COMPUTED_VALUE"""),"ONDORES")</f>
        <v>ONDORES</v>
      </c>
      <c r="H1165" s="25" t="str">
        <f ca="1">IFERROR(__xludf.DUMMYFUNCTION("""COMPUTED_VALUE"""),"RURAL")</f>
        <v>RURAL</v>
      </c>
      <c r="I1165" s="25" t="str">
        <f ca="1">IFERROR(__xludf.DUMMYFUNCTION("""COMPUTED_VALUE"""),"Prioridad 4")</f>
        <v>Prioridad 4</v>
      </c>
      <c r="J1165" s="43" t="s">
        <v>264</v>
      </c>
    </row>
    <row r="1166" spans="2:10">
      <c r="B1166" s="25" t="str">
        <f ca="1">IFERROR(__xludf.DUMMYFUNCTION("""COMPUTED_VALUE"""),"MUNICIPALIDAD DISTRITAL")</f>
        <v>MUNICIPALIDAD DISTRITAL</v>
      </c>
      <c r="C1166" s="25" t="str">
        <f ca="1">IFERROR(__xludf.DUMMYFUNCTION("""COMPUTED_VALUE"""),"MUNICIPALIDAD DISTRITAL DE ULCUMAYO")</f>
        <v>MUNICIPALIDAD DISTRITAL DE ULCUMAYO</v>
      </c>
      <c r="D1166" s="25" t="str">
        <f ca="1">IFERROR(__xludf.DUMMYFUNCTION("""COMPUTED_VALUE"""),"JUNÍN")</f>
        <v>JUNÍN</v>
      </c>
      <c r="E1166" s="25" t="str">
        <f ca="1">IFERROR(__xludf.DUMMYFUNCTION("""COMPUTED_VALUE"""),"JUNÍN")</f>
        <v>JUNÍN</v>
      </c>
      <c r="F1166" s="25" t="str">
        <f ca="1">IFERROR(__xludf.DUMMYFUNCTION("""COMPUTED_VALUE"""),"JUNIN")</f>
        <v>JUNIN</v>
      </c>
      <c r="G1166" s="25" t="str">
        <f ca="1">IFERROR(__xludf.DUMMYFUNCTION("""COMPUTED_VALUE"""),"ULCUMAYO")</f>
        <v>ULCUMAYO</v>
      </c>
      <c r="H1166" s="25" t="str">
        <f ca="1">IFERROR(__xludf.DUMMYFUNCTION("""COMPUTED_VALUE"""),"RURAL")</f>
        <v>RURAL</v>
      </c>
      <c r="I1166" s="25" t="str">
        <f ca="1">IFERROR(__xludf.DUMMYFUNCTION("""COMPUTED_VALUE"""),"Prioridad 4")</f>
        <v>Prioridad 4</v>
      </c>
      <c r="J1166" s="43" t="s">
        <v>264</v>
      </c>
    </row>
    <row r="1167" spans="2:10">
      <c r="B1167" s="25" t="str">
        <f ca="1">IFERROR(__xludf.DUMMYFUNCTION("""COMPUTED_VALUE"""),"MUNICIPALIDAD PROVINCIAL")</f>
        <v>MUNICIPALIDAD PROVINCIAL</v>
      </c>
      <c r="C1167" s="25" t="str">
        <f ca="1">IFERROR(__xludf.DUMMYFUNCTION("""COMPUTED_VALUE"""),"MUNICIPALIDAD PROVINCIAL DE SATIPO")</f>
        <v>MUNICIPALIDAD PROVINCIAL DE SATIPO</v>
      </c>
      <c r="D1167" s="25" t="str">
        <f ca="1">IFERROR(__xludf.DUMMYFUNCTION("""COMPUTED_VALUE"""),"JUNÍN")</f>
        <v>JUNÍN</v>
      </c>
      <c r="E1167" s="25" t="str">
        <f ca="1">IFERROR(__xludf.DUMMYFUNCTION("""COMPUTED_VALUE"""),"JUNÍN")</f>
        <v>JUNÍN</v>
      </c>
      <c r="F1167" s="25" t="str">
        <f ca="1">IFERROR(__xludf.DUMMYFUNCTION("""COMPUTED_VALUE"""),"SATIPO")</f>
        <v>SATIPO</v>
      </c>
      <c r="G1167" s="25" t="str">
        <f ca="1">IFERROR(__xludf.DUMMYFUNCTION("""COMPUTED_VALUE"""),"SATIPO")</f>
        <v>SATIPO</v>
      </c>
      <c r="H1167" s="25" t="str">
        <f ca="1">IFERROR(__xludf.DUMMYFUNCTION("""COMPUTED_VALUE"""),"URBANO")</f>
        <v>URBANO</v>
      </c>
      <c r="I1167" s="25" t="str">
        <f ca="1">IFERROR(__xludf.DUMMYFUNCTION("""COMPUTED_VALUE"""),"Prioridad 1")</f>
        <v>Prioridad 1</v>
      </c>
      <c r="J1167" s="43" t="s">
        <v>264</v>
      </c>
    </row>
    <row r="1168" spans="2:10">
      <c r="B1168" s="25" t="str">
        <f ca="1">IFERROR(__xludf.DUMMYFUNCTION("""COMPUTED_VALUE"""),"MUNICIPALIDAD DISTRITAL")</f>
        <v>MUNICIPALIDAD DISTRITAL</v>
      </c>
      <c r="C1168" s="25" t="str">
        <f ca="1">IFERROR(__xludf.DUMMYFUNCTION("""COMPUTED_VALUE"""),"MUNICIPALIDAD DISTRITAL DE COVIRIALI")</f>
        <v>MUNICIPALIDAD DISTRITAL DE COVIRIALI</v>
      </c>
      <c r="D1168" s="25" t="str">
        <f ca="1">IFERROR(__xludf.DUMMYFUNCTION("""COMPUTED_VALUE"""),"JUNÍN")</f>
        <v>JUNÍN</v>
      </c>
      <c r="E1168" s="25" t="str">
        <f ca="1">IFERROR(__xludf.DUMMYFUNCTION("""COMPUTED_VALUE"""),"JUNÍN")</f>
        <v>JUNÍN</v>
      </c>
      <c r="F1168" s="25" t="str">
        <f ca="1">IFERROR(__xludf.DUMMYFUNCTION("""COMPUTED_VALUE"""),"SATIPO")</f>
        <v>SATIPO</v>
      </c>
      <c r="G1168" s="25" t="str">
        <f ca="1">IFERROR(__xludf.DUMMYFUNCTION("""COMPUTED_VALUE"""),"COVIRIALI")</f>
        <v>COVIRIALI</v>
      </c>
      <c r="H1168" s="25" t="str">
        <f ca="1">IFERROR(__xludf.DUMMYFUNCTION("""COMPUTED_VALUE"""),"RURAL")</f>
        <v>RURAL</v>
      </c>
      <c r="I1168" s="25" t="str">
        <f ca="1">IFERROR(__xludf.DUMMYFUNCTION("""COMPUTED_VALUE"""),"Prioridad 5")</f>
        <v>Prioridad 5</v>
      </c>
      <c r="J1168" s="43" t="s">
        <v>264</v>
      </c>
    </row>
    <row r="1169" spans="2:10">
      <c r="B1169" s="25" t="str">
        <f ca="1">IFERROR(__xludf.DUMMYFUNCTION("""COMPUTED_VALUE"""),"MUNICIPALIDAD DISTRITAL")</f>
        <v>MUNICIPALIDAD DISTRITAL</v>
      </c>
      <c r="C1169" s="25" t="str">
        <f ca="1">IFERROR(__xludf.DUMMYFUNCTION("""COMPUTED_VALUE"""),"MUNICIPALIDAD DISTRITAL DE LLAYLLA")</f>
        <v>MUNICIPALIDAD DISTRITAL DE LLAYLLA</v>
      </c>
      <c r="D1169" s="25" t="str">
        <f ca="1">IFERROR(__xludf.DUMMYFUNCTION("""COMPUTED_VALUE"""),"JUNÍN")</f>
        <v>JUNÍN</v>
      </c>
      <c r="E1169" s="25" t="str">
        <f ca="1">IFERROR(__xludf.DUMMYFUNCTION("""COMPUTED_VALUE"""),"JUNÍN")</f>
        <v>JUNÍN</v>
      </c>
      <c r="F1169" s="25" t="str">
        <f ca="1">IFERROR(__xludf.DUMMYFUNCTION("""COMPUTED_VALUE"""),"SATIPO")</f>
        <v>SATIPO</v>
      </c>
      <c r="G1169" s="25" t="str">
        <f ca="1">IFERROR(__xludf.DUMMYFUNCTION("""COMPUTED_VALUE"""),"LLAYLLA")</f>
        <v>LLAYLLA</v>
      </c>
      <c r="H1169" s="25" t="str">
        <f ca="1">IFERROR(__xludf.DUMMYFUNCTION("""COMPUTED_VALUE"""),"RURAL")</f>
        <v>RURAL</v>
      </c>
      <c r="I1169" s="25" t="str">
        <f ca="1">IFERROR(__xludf.DUMMYFUNCTION("""COMPUTED_VALUE"""),"Prioridad 4")</f>
        <v>Prioridad 4</v>
      </c>
      <c r="J1169" s="43" t="s">
        <v>264</v>
      </c>
    </row>
    <row r="1170" spans="2:10">
      <c r="B1170" s="25" t="str">
        <f ca="1">IFERROR(__xludf.DUMMYFUNCTION("""COMPUTED_VALUE"""),"MUNICIPALIDAD DISTRITAL")</f>
        <v>MUNICIPALIDAD DISTRITAL</v>
      </c>
      <c r="C1170" s="25" t="str">
        <f ca="1">IFERROR(__xludf.DUMMYFUNCTION("""COMPUTED_VALUE"""),"MUNICIPALIDAD DISTRITAL DE MAZAMARI")</f>
        <v>MUNICIPALIDAD DISTRITAL DE MAZAMARI</v>
      </c>
      <c r="D1170" s="25" t="str">
        <f ca="1">IFERROR(__xludf.DUMMYFUNCTION("""COMPUTED_VALUE"""),"JUNÍN")</f>
        <v>JUNÍN</v>
      </c>
      <c r="E1170" s="25" t="str">
        <f ca="1">IFERROR(__xludf.DUMMYFUNCTION("""COMPUTED_VALUE"""),"JUNÍN")</f>
        <v>JUNÍN</v>
      </c>
      <c r="F1170" s="25" t="str">
        <f ca="1">IFERROR(__xludf.DUMMYFUNCTION("""COMPUTED_VALUE"""),"SATIPO")</f>
        <v>SATIPO</v>
      </c>
      <c r="G1170" s="25" t="str">
        <f ca="1">IFERROR(__xludf.DUMMYFUNCTION("""COMPUTED_VALUE"""),"MAZAMARI")</f>
        <v>MAZAMARI</v>
      </c>
      <c r="H1170" s="25" t="str">
        <f ca="1">IFERROR(__xludf.DUMMYFUNCTION("""COMPUTED_VALUE"""),"RURAL")</f>
        <v>RURAL</v>
      </c>
      <c r="I1170" s="25" t="str">
        <f ca="1">IFERROR(__xludf.DUMMYFUNCTION("""COMPUTED_VALUE"""),"Prioridad 3")</f>
        <v>Prioridad 3</v>
      </c>
      <c r="J1170" s="43" t="s">
        <v>264</v>
      </c>
    </row>
    <row r="1171" spans="2:10">
      <c r="B1171" s="25" t="str">
        <f ca="1">IFERROR(__xludf.DUMMYFUNCTION("""COMPUTED_VALUE"""),"MUNICIPALIDAD DISTRITAL")</f>
        <v>MUNICIPALIDAD DISTRITAL</v>
      </c>
      <c r="C1171" s="25" t="str">
        <f ca="1">IFERROR(__xludf.DUMMYFUNCTION("""COMPUTED_VALUE"""),"MUNICIPALIDAD DISTRITAL DE PAMPA HERMOSA EN SATIPO")</f>
        <v>MUNICIPALIDAD DISTRITAL DE PAMPA HERMOSA EN SATIPO</v>
      </c>
      <c r="D1171" s="25" t="str">
        <f ca="1">IFERROR(__xludf.DUMMYFUNCTION("""COMPUTED_VALUE"""),"JUNÍN")</f>
        <v>JUNÍN</v>
      </c>
      <c r="E1171" s="25" t="str">
        <f ca="1">IFERROR(__xludf.DUMMYFUNCTION("""COMPUTED_VALUE"""),"JUNÍN")</f>
        <v>JUNÍN</v>
      </c>
      <c r="F1171" s="25" t="str">
        <f ca="1">IFERROR(__xludf.DUMMYFUNCTION("""COMPUTED_VALUE"""),"SATIPO")</f>
        <v>SATIPO</v>
      </c>
      <c r="G1171" s="25" t="str">
        <f ca="1">IFERROR(__xludf.DUMMYFUNCTION("""COMPUTED_VALUE"""),"PAMPA HERMOSA")</f>
        <v>PAMPA HERMOSA</v>
      </c>
      <c r="H1171" s="25" t="str">
        <f ca="1">IFERROR(__xludf.DUMMYFUNCTION("""COMPUTED_VALUE"""),"RURAL")</f>
        <v>RURAL</v>
      </c>
      <c r="I1171" s="25" t="str">
        <f ca="1">IFERROR(__xludf.DUMMYFUNCTION("""COMPUTED_VALUE"""),"Prioridad 4")</f>
        <v>Prioridad 4</v>
      </c>
      <c r="J1171" s="43" t="s">
        <v>264</v>
      </c>
    </row>
    <row r="1172" spans="2:10">
      <c r="B1172" s="25" t="str">
        <f ca="1">IFERROR(__xludf.DUMMYFUNCTION("""COMPUTED_VALUE"""),"MUNICIPALIDAD DISTRITAL")</f>
        <v>MUNICIPALIDAD DISTRITAL</v>
      </c>
      <c r="C1172" s="25" t="str">
        <f ca="1">IFERROR(__xludf.DUMMYFUNCTION("""COMPUTED_VALUE"""),"MUNICIPALIDAD DISTRITAL DE PANGOA")</f>
        <v>MUNICIPALIDAD DISTRITAL DE PANGOA</v>
      </c>
      <c r="D1172" s="25" t="str">
        <f ca="1">IFERROR(__xludf.DUMMYFUNCTION("""COMPUTED_VALUE"""),"JUNÍN")</f>
        <v>JUNÍN</v>
      </c>
      <c r="E1172" s="25" t="str">
        <f ca="1">IFERROR(__xludf.DUMMYFUNCTION("""COMPUTED_VALUE"""),"JUNÍN")</f>
        <v>JUNÍN</v>
      </c>
      <c r="F1172" s="25" t="str">
        <f ca="1">IFERROR(__xludf.DUMMYFUNCTION("""COMPUTED_VALUE"""),"SATIPO")</f>
        <v>SATIPO</v>
      </c>
      <c r="G1172" s="25" t="str">
        <f ca="1">IFERROR(__xludf.DUMMYFUNCTION("""COMPUTED_VALUE"""),"PANGOA")</f>
        <v>PANGOA</v>
      </c>
      <c r="H1172" s="25" t="str">
        <f ca="1">IFERROR(__xludf.DUMMYFUNCTION("""COMPUTED_VALUE"""),"RURAL")</f>
        <v>RURAL</v>
      </c>
      <c r="I1172" s="25" t="str">
        <f ca="1">IFERROR(__xludf.DUMMYFUNCTION("""COMPUTED_VALUE"""),"Prioridad 1")</f>
        <v>Prioridad 1</v>
      </c>
      <c r="J1172" s="43" t="s">
        <v>264</v>
      </c>
    </row>
    <row r="1173" spans="2:10">
      <c r="B1173" s="25" t="str">
        <f ca="1">IFERROR(__xludf.DUMMYFUNCTION("""COMPUTED_VALUE"""),"MUNICIPALIDAD DISTRITAL")</f>
        <v>MUNICIPALIDAD DISTRITAL</v>
      </c>
      <c r="C1173" s="25" t="str">
        <f ca="1">IFERROR(__xludf.DUMMYFUNCTION("""COMPUTED_VALUE"""),"MUNICIPALIDAD DISTRITAL DE RIO NEGRO")</f>
        <v>MUNICIPALIDAD DISTRITAL DE RIO NEGRO</v>
      </c>
      <c r="D1173" s="25" t="str">
        <f ca="1">IFERROR(__xludf.DUMMYFUNCTION("""COMPUTED_VALUE"""),"JUNÍN")</f>
        <v>JUNÍN</v>
      </c>
      <c r="E1173" s="25" t="str">
        <f ca="1">IFERROR(__xludf.DUMMYFUNCTION("""COMPUTED_VALUE"""),"JUNÍN")</f>
        <v>JUNÍN</v>
      </c>
      <c r="F1173" s="25" t="str">
        <f ca="1">IFERROR(__xludf.DUMMYFUNCTION("""COMPUTED_VALUE"""),"SATIPO")</f>
        <v>SATIPO</v>
      </c>
      <c r="G1173" s="25" t="str">
        <f ca="1">IFERROR(__xludf.DUMMYFUNCTION("""COMPUTED_VALUE"""),"RIO NEGRO")</f>
        <v>RIO NEGRO</v>
      </c>
      <c r="H1173" s="25" t="str">
        <f ca="1">IFERROR(__xludf.DUMMYFUNCTION("""COMPUTED_VALUE"""),"RURAL")</f>
        <v>RURAL</v>
      </c>
      <c r="I1173" s="25" t="str">
        <f ca="1">IFERROR(__xludf.DUMMYFUNCTION("""COMPUTED_VALUE"""),"Prioridad 2")</f>
        <v>Prioridad 2</v>
      </c>
      <c r="J1173" s="43" t="s">
        <v>261</v>
      </c>
    </row>
    <row r="1174" spans="2:10">
      <c r="B1174" s="25" t="str">
        <f ca="1">IFERROR(__xludf.DUMMYFUNCTION("""COMPUTED_VALUE"""),"MUNICIPALIDAD DISTRITAL")</f>
        <v>MUNICIPALIDAD DISTRITAL</v>
      </c>
      <c r="C1174" s="25" t="str">
        <f ca="1">IFERROR(__xludf.DUMMYFUNCTION("""COMPUTED_VALUE"""),"MUNICIPALIDAD DISTRITAL DE RIO TAMBO")</f>
        <v>MUNICIPALIDAD DISTRITAL DE RIO TAMBO</v>
      </c>
      <c r="D1174" s="25" t="str">
        <f ca="1">IFERROR(__xludf.DUMMYFUNCTION("""COMPUTED_VALUE"""),"JUNÍN")</f>
        <v>JUNÍN</v>
      </c>
      <c r="E1174" s="25" t="str">
        <f ca="1">IFERROR(__xludf.DUMMYFUNCTION("""COMPUTED_VALUE"""),"JUNÍN")</f>
        <v>JUNÍN</v>
      </c>
      <c r="F1174" s="25" t="str">
        <f ca="1">IFERROR(__xludf.DUMMYFUNCTION("""COMPUTED_VALUE"""),"SATIPO")</f>
        <v>SATIPO</v>
      </c>
      <c r="G1174" s="25" t="str">
        <f ca="1">IFERROR(__xludf.DUMMYFUNCTION("""COMPUTED_VALUE"""),"RIO TAMBO")</f>
        <v>RIO TAMBO</v>
      </c>
      <c r="H1174" s="25" t="str">
        <f ca="1">IFERROR(__xludf.DUMMYFUNCTION("""COMPUTED_VALUE"""),"RURAL")</f>
        <v>RURAL</v>
      </c>
      <c r="I1174" s="25" t="str">
        <f ca="1">IFERROR(__xludf.DUMMYFUNCTION("""COMPUTED_VALUE"""),"Prioridad 5")</f>
        <v>Prioridad 5</v>
      </c>
      <c r="J1174" s="43" t="s">
        <v>261</v>
      </c>
    </row>
    <row r="1175" spans="2:10">
      <c r="B1175" s="25" t="str">
        <f ca="1">IFERROR(__xludf.DUMMYFUNCTION("""COMPUTED_VALUE"""),"MUNICIPALIDAD DISTRITAL")</f>
        <v>MUNICIPALIDAD DISTRITAL</v>
      </c>
      <c r="C1175" s="25" t="str">
        <f ca="1">IFERROR(__xludf.DUMMYFUNCTION("""COMPUTED_VALUE"""),"MUNICIPALIDAD DISTRITAL DE VIZCATAN DEL ENE")</f>
        <v>MUNICIPALIDAD DISTRITAL DE VIZCATAN DEL ENE</v>
      </c>
      <c r="D1175" s="25" t="str">
        <f ca="1">IFERROR(__xludf.DUMMYFUNCTION("""COMPUTED_VALUE"""),"JUNÍN")</f>
        <v>JUNÍN</v>
      </c>
      <c r="E1175" s="25" t="str">
        <f ca="1">IFERROR(__xludf.DUMMYFUNCTION("""COMPUTED_VALUE"""),"JUNÍN")</f>
        <v>JUNÍN</v>
      </c>
      <c r="F1175" s="25" t="str">
        <f ca="1">IFERROR(__xludf.DUMMYFUNCTION("""COMPUTED_VALUE"""),"SATIPO")</f>
        <v>SATIPO</v>
      </c>
      <c r="G1175" s="25" t="str">
        <f ca="1">IFERROR(__xludf.DUMMYFUNCTION("""COMPUTED_VALUE"""),"VIZCATAN DEL ENE")</f>
        <v>VIZCATAN DEL ENE</v>
      </c>
      <c r="H1175" s="25" t="str">
        <f ca="1">IFERROR(__xludf.DUMMYFUNCTION("""COMPUTED_VALUE"""),"RURAL")</f>
        <v>RURAL</v>
      </c>
      <c r="I1175" s="25" t="str">
        <f ca="1">IFERROR(__xludf.DUMMYFUNCTION("""COMPUTED_VALUE"""),"Prioridad 4")</f>
        <v>Prioridad 4</v>
      </c>
      <c r="J1175" s="43" t="s">
        <v>261</v>
      </c>
    </row>
    <row r="1176" spans="2:10">
      <c r="B1176" s="25" t="str">
        <f ca="1">IFERROR(__xludf.DUMMYFUNCTION("""COMPUTED_VALUE"""),"MUNICIPALIDAD PROVINCIAL")</f>
        <v>MUNICIPALIDAD PROVINCIAL</v>
      </c>
      <c r="C1176" s="25" t="str">
        <f ca="1">IFERROR(__xludf.DUMMYFUNCTION("""COMPUTED_VALUE"""),"MUNICIPALIDAD PROVINCIAL DE TARMA")</f>
        <v>MUNICIPALIDAD PROVINCIAL DE TARMA</v>
      </c>
      <c r="D1176" s="25" t="str">
        <f ca="1">IFERROR(__xludf.DUMMYFUNCTION("""COMPUTED_VALUE"""),"JUNÍN")</f>
        <v>JUNÍN</v>
      </c>
      <c r="E1176" s="25" t="str">
        <f ca="1">IFERROR(__xludf.DUMMYFUNCTION("""COMPUTED_VALUE"""),"JUNÍN")</f>
        <v>JUNÍN</v>
      </c>
      <c r="F1176" s="25" t="str">
        <f ca="1">IFERROR(__xludf.DUMMYFUNCTION("""COMPUTED_VALUE"""),"TARMA")</f>
        <v>TARMA</v>
      </c>
      <c r="G1176" s="25" t="str">
        <f ca="1">IFERROR(__xludf.DUMMYFUNCTION("""COMPUTED_VALUE"""),"TARMA")</f>
        <v>TARMA</v>
      </c>
      <c r="H1176" s="25" t="str">
        <f ca="1">IFERROR(__xludf.DUMMYFUNCTION("""COMPUTED_VALUE"""),"URBANO")</f>
        <v>URBANO</v>
      </c>
      <c r="I1176" s="25" t="str">
        <f ca="1">IFERROR(__xludf.DUMMYFUNCTION("""COMPUTED_VALUE"""),"Prioridad 1")</f>
        <v>Prioridad 1</v>
      </c>
      <c r="J1176" s="43" t="s">
        <v>261</v>
      </c>
    </row>
    <row r="1177" spans="2:10">
      <c r="B1177" s="25" t="str">
        <f ca="1">IFERROR(__xludf.DUMMYFUNCTION("""COMPUTED_VALUE"""),"MUNICIPALIDAD DISTRITAL")</f>
        <v>MUNICIPALIDAD DISTRITAL</v>
      </c>
      <c r="C1177" s="25" t="str">
        <f ca="1">IFERROR(__xludf.DUMMYFUNCTION("""COMPUTED_VALUE"""),"MUNICIPALIDAD DISTRITAL DE ACOBAMBA EN TARMA")</f>
        <v>MUNICIPALIDAD DISTRITAL DE ACOBAMBA EN TARMA</v>
      </c>
      <c r="D1177" s="25" t="str">
        <f ca="1">IFERROR(__xludf.DUMMYFUNCTION("""COMPUTED_VALUE"""),"JUNÍN")</f>
        <v>JUNÍN</v>
      </c>
      <c r="E1177" s="25" t="str">
        <f ca="1">IFERROR(__xludf.DUMMYFUNCTION("""COMPUTED_VALUE"""),"JUNÍN")</f>
        <v>JUNÍN</v>
      </c>
      <c r="F1177" s="25" t="str">
        <f ca="1">IFERROR(__xludf.DUMMYFUNCTION("""COMPUTED_VALUE"""),"TARMA")</f>
        <v>TARMA</v>
      </c>
      <c r="G1177" s="25" t="str">
        <f ca="1">IFERROR(__xludf.DUMMYFUNCTION("""COMPUTED_VALUE"""),"ACOBAMBA")</f>
        <v>ACOBAMBA</v>
      </c>
      <c r="H1177" s="25" t="str">
        <f ca="1">IFERROR(__xludf.DUMMYFUNCTION("""COMPUTED_VALUE"""),"URBANO")</f>
        <v>URBANO</v>
      </c>
      <c r="I1177" s="25" t="str">
        <f ca="1">IFERROR(__xludf.DUMMYFUNCTION("""COMPUTED_VALUE"""),"Prioridad 2")</f>
        <v>Prioridad 2</v>
      </c>
      <c r="J1177" s="43" t="s">
        <v>261</v>
      </c>
    </row>
    <row r="1178" spans="2:10">
      <c r="B1178" s="25" t="str">
        <f ca="1">IFERROR(__xludf.DUMMYFUNCTION("""COMPUTED_VALUE"""),"MUNICIPALIDAD DISTRITAL")</f>
        <v>MUNICIPALIDAD DISTRITAL</v>
      </c>
      <c r="C1178" s="25" t="str">
        <f ca="1">IFERROR(__xludf.DUMMYFUNCTION("""COMPUTED_VALUE"""),"MUNICIPALIDAD DISTRITAL DE HUARICOLCA")</f>
        <v>MUNICIPALIDAD DISTRITAL DE HUARICOLCA</v>
      </c>
      <c r="D1178" s="25" t="str">
        <f ca="1">IFERROR(__xludf.DUMMYFUNCTION("""COMPUTED_VALUE"""),"JUNÍN")</f>
        <v>JUNÍN</v>
      </c>
      <c r="E1178" s="25" t="str">
        <f ca="1">IFERROR(__xludf.DUMMYFUNCTION("""COMPUTED_VALUE"""),"JUNÍN")</f>
        <v>JUNÍN</v>
      </c>
      <c r="F1178" s="25" t="str">
        <f ca="1">IFERROR(__xludf.DUMMYFUNCTION("""COMPUTED_VALUE"""),"TARMA")</f>
        <v>TARMA</v>
      </c>
      <c r="G1178" s="25" t="str">
        <f ca="1">IFERROR(__xludf.DUMMYFUNCTION("""COMPUTED_VALUE"""),"HUARICOLCA")</f>
        <v>HUARICOLCA</v>
      </c>
      <c r="H1178" s="25" t="str">
        <f ca="1">IFERROR(__xludf.DUMMYFUNCTION("""COMPUTED_VALUE"""),"RURAL")</f>
        <v>RURAL</v>
      </c>
      <c r="I1178" s="25" t="str">
        <f ca="1">IFERROR(__xludf.DUMMYFUNCTION("""COMPUTED_VALUE"""),"Prioridad 4")</f>
        <v>Prioridad 4</v>
      </c>
      <c r="J1178" s="43" t="s">
        <v>261</v>
      </c>
    </row>
    <row r="1179" spans="2:10">
      <c r="B1179" s="25" t="str">
        <f ca="1">IFERROR(__xludf.DUMMYFUNCTION("""COMPUTED_VALUE"""),"MUNICIPALIDAD DISTRITAL")</f>
        <v>MUNICIPALIDAD DISTRITAL</v>
      </c>
      <c r="C1179" s="25" t="str">
        <f ca="1">IFERROR(__xludf.DUMMYFUNCTION("""COMPUTED_VALUE"""),"MUNICIPALIDAD DISTRITAL DE HUASAHUASI")</f>
        <v>MUNICIPALIDAD DISTRITAL DE HUASAHUASI</v>
      </c>
      <c r="D1179" s="25" t="str">
        <f ca="1">IFERROR(__xludf.DUMMYFUNCTION("""COMPUTED_VALUE"""),"JUNÍN")</f>
        <v>JUNÍN</v>
      </c>
      <c r="E1179" s="25" t="str">
        <f ca="1">IFERROR(__xludf.DUMMYFUNCTION("""COMPUTED_VALUE"""),"JUNÍN")</f>
        <v>JUNÍN</v>
      </c>
      <c r="F1179" s="25" t="str">
        <f ca="1">IFERROR(__xludf.DUMMYFUNCTION("""COMPUTED_VALUE"""),"TARMA")</f>
        <v>TARMA</v>
      </c>
      <c r="G1179" s="25" t="str">
        <f ca="1">IFERROR(__xludf.DUMMYFUNCTION("""COMPUTED_VALUE"""),"HUASAHUASI")</f>
        <v>HUASAHUASI</v>
      </c>
      <c r="H1179" s="25" t="str">
        <f ca="1">IFERROR(__xludf.DUMMYFUNCTION("""COMPUTED_VALUE"""),"RURAL")</f>
        <v>RURAL</v>
      </c>
      <c r="I1179" s="25" t="str">
        <f ca="1">IFERROR(__xludf.DUMMYFUNCTION("""COMPUTED_VALUE"""),"Prioridad 3")</f>
        <v>Prioridad 3</v>
      </c>
      <c r="J1179" s="43" t="s">
        <v>261</v>
      </c>
    </row>
    <row r="1180" spans="2:10">
      <c r="B1180" s="25" t="str">
        <f ca="1">IFERROR(__xludf.DUMMYFUNCTION("""COMPUTED_VALUE"""),"MUNICIPALIDAD DISTRITAL")</f>
        <v>MUNICIPALIDAD DISTRITAL</v>
      </c>
      <c r="C1180" s="25" t="str">
        <f ca="1">IFERROR(__xludf.DUMMYFUNCTION("""COMPUTED_VALUE"""),"MUNICIPALIDAD DISTRITAL DE LA UNION EN TARMA")</f>
        <v>MUNICIPALIDAD DISTRITAL DE LA UNION EN TARMA</v>
      </c>
      <c r="D1180" s="25" t="str">
        <f ca="1">IFERROR(__xludf.DUMMYFUNCTION("""COMPUTED_VALUE"""),"JUNÍN")</f>
        <v>JUNÍN</v>
      </c>
      <c r="E1180" s="25" t="str">
        <f ca="1">IFERROR(__xludf.DUMMYFUNCTION("""COMPUTED_VALUE"""),"JUNÍN")</f>
        <v>JUNÍN</v>
      </c>
      <c r="F1180" s="25" t="str">
        <f ca="1">IFERROR(__xludf.DUMMYFUNCTION("""COMPUTED_VALUE"""),"TARMA")</f>
        <v>TARMA</v>
      </c>
      <c r="G1180" s="25" t="str">
        <f ca="1">IFERROR(__xludf.DUMMYFUNCTION("""COMPUTED_VALUE"""),"LA UNION")</f>
        <v>LA UNION</v>
      </c>
      <c r="H1180" s="25" t="str">
        <f ca="1">IFERROR(__xludf.DUMMYFUNCTION("""COMPUTED_VALUE"""),"URBANO")</f>
        <v>URBANO</v>
      </c>
      <c r="I1180" s="25" t="str">
        <f ca="1">IFERROR(__xludf.DUMMYFUNCTION("""COMPUTED_VALUE"""),"Prioridad 2")</f>
        <v>Prioridad 2</v>
      </c>
      <c r="J1180" s="43" t="s">
        <v>261</v>
      </c>
    </row>
    <row r="1181" spans="2:10">
      <c r="B1181" s="25" t="str">
        <f ca="1">IFERROR(__xludf.DUMMYFUNCTION("""COMPUTED_VALUE"""),"MUNICIPALIDAD DISTRITAL")</f>
        <v>MUNICIPALIDAD DISTRITAL</v>
      </c>
      <c r="C1181" s="25" t="str">
        <f ca="1">IFERROR(__xludf.DUMMYFUNCTION("""COMPUTED_VALUE"""),"MUNICIPALIDAD DISTRITAL DE PALCA EN TARMA")</f>
        <v>MUNICIPALIDAD DISTRITAL DE PALCA EN TARMA</v>
      </c>
      <c r="D1181" s="25" t="str">
        <f ca="1">IFERROR(__xludf.DUMMYFUNCTION("""COMPUTED_VALUE"""),"JUNÍN")</f>
        <v>JUNÍN</v>
      </c>
      <c r="E1181" s="25" t="str">
        <f ca="1">IFERROR(__xludf.DUMMYFUNCTION("""COMPUTED_VALUE"""),"JUNÍN")</f>
        <v>JUNÍN</v>
      </c>
      <c r="F1181" s="25" t="str">
        <f ca="1">IFERROR(__xludf.DUMMYFUNCTION("""COMPUTED_VALUE"""),"TARMA")</f>
        <v>TARMA</v>
      </c>
      <c r="G1181" s="25" t="str">
        <f ca="1">IFERROR(__xludf.DUMMYFUNCTION("""COMPUTED_VALUE"""),"PALCA")</f>
        <v>PALCA</v>
      </c>
      <c r="H1181" s="25" t="str">
        <f ca="1">IFERROR(__xludf.DUMMYFUNCTION("""COMPUTED_VALUE"""),"RURAL")</f>
        <v>RURAL</v>
      </c>
      <c r="I1181" s="25" t="str">
        <f ca="1">IFERROR(__xludf.DUMMYFUNCTION("""COMPUTED_VALUE"""),"Prioridad 2")</f>
        <v>Prioridad 2</v>
      </c>
      <c r="J1181" s="43" t="s">
        <v>261</v>
      </c>
    </row>
    <row r="1182" spans="2:10">
      <c r="B1182" s="25" t="str">
        <f ca="1">IFERROR(__xludf.DUMMYFUNCTION("""COMPUTED_VALUE"""),"MUNICIPALIDAD DISTRITAL")</f>
        <v>MUNICIPALIDAD DISTRITAL</v>
      </c>
      <c r="C1182" s="25" t="str">
        <f ca="1">IFERROR(__xludf.DUMMYFUNCTION("""COMPUTED_VALUE"""),"MUNICIPALIDAD DISTRITAL DE PALCAMAYO")</f>
        <v>MUNICIPALIDAD DISTRITAL DE PALCAMAYO</v>
      </c>
      <c r="D1182" s="25" t="str">
        <f ca="1">IFERROR(__xludf.DUMMYFUNCTION("""COMPUTED_VALUE"""),"JUNÍN")</f>
        <v>JUNÍN</v>
      </c>
      <c r="E1182" s="25" t="str">
        <f ca="1">IFERROR(__xludf.DUMMYFUNCTION("""COMPUTED_VALUE"""),"JUNÍN")</f>
        <v>JUNÍN</v>
      </c>
      <c r="F1182" s="25" t="str">
        <f ca="1">IFERROR(__xludf.DUMMYFUNCTION("""COMPUTED_VALUE"""),"TARMA")</f>
        <v>TARMA</v>
      </c>
      <c r="G1182" s="25" t="str">
        <f ca="1">IFERROR(__xludf.DUMMYFUNCTION("""COMPUTED_VALUE"""),"PALCAMAYO")</f>
        <v>PALCAMAYO</v>
      </c>
      <c r="H1182" s="25" t="str">
        <f ca="1">IFERROR(__xludf.DUMMYFUNCTION("""COMPUTED_VALUE"""),"RURAL")</f>
        <v>RURAL</v>
      </c>
      <c r="I1182" s="25" t="str">
        <f ca="1">IFERROR(__xludf.DUMMYFUNCTION("""COMPUTED_VALUE"""),"Prioridad 3")</f>
        <v>Prioridad 3</v>
      </c>
      <c r="J1182" s="43" t="s">
        <v>261</v>
      </c>
    </row>
    <row r="1183" spans="2:10">
      <c r="B1183" s="25" t="str">
        <f ca="1">IFERROR(__xludf.DUMMYFUNCTION("""COMPUTED_VALUE"""),"MUNICIPALIDAD DISTRITAL")</f>
        <v>MUNICIPALIDAD DISTRITAL</v>
      </c>
      <c r="C1183" s="25" t="str">
        <f ca="1">IFERROR(__xludf.DUMMYFUNCTION("""COMPUTED_VALUE"""),"MUNICIPALIDAD DISTRITAL DE SAN PEDRO DE CAJAS")</f>
        <v>MUNICIPALIDAD DISTRITAL DE SAN PEDRO DE CAJAS</v>
      </c>
      <c r="D1183" s="25" t="str">
        <f ca="1">IFERROR(__xludf.DUMMYFUNCTION("""COMPUTED_VALUE"""),"JUNÍN")</f>
        <v>JUNÍN</v>
      </c>
      <c r="E1183" s="25" t="str">
        <f ca="1">IFERROR(__xludf.DUMMYFUNCTION("""COMPUTED_VALUE"""),"JUNÍN")</f>
        <v>JUNÍN</v>
      </c>
      <c r="F1183" s="25" t="str">
        <f ca="1">IFERROR(__xludf.DUMMYFUNCTION("""COMPUTED_VALUE"""),"TARMA")</f>
        <v>TARMA</v>
      </c>
      <c r="G1183" s="25" t="str">
        <f ca="1">IFERROR(__xludf.DUMMYFUNCTION("""COMPUTED_VALUE"""),"SAN PEDRO DE CAJAS")</f>
        <v>SAN PEDRO DE CAJAS</v>
      </c>
      <c r="H1183" s="25" t="str">
        <f ca="1">IFERROR(__xludf.DUMMYFUNCTION("""COMPUTED_VALUE"""),"URBANO")</f>
        <v>URBANO</v>
      </c>
      <c r="I1183" s="25" t="str">
        <f ca="1">IFERROR(__xludf.DUMMYFUNCTION("""COMPUTED_VALUE"""),"Prioridad 2")</f>
        <v>Prioridad 2</v>
      </c>
      <c r="J1183" s="43" t="s">
        <v>261</v>
      </c>
    </row>
    <row r="1184" spans="2:10">
      <c r="B1184" s="25" t="str">
        <f ca="1">IFERROR(__xludf.DUMMYFUNCTION("""COMPUTED_VALUE"""),"MUNICIPALIDAD DISTRITAL")</f>
        <v>MUNICIPALIDAD DISTRITAL</v>
      </c>
      <c r="C1184" s="25" t="str">
        <f ca="1">IFERROR(__xludf.DUMMYFUNCTION("""COMPUTED_VALUE"""),"MUNICIPALIDAD DISTRITAL DE TAPO")</f>
        <v>MUNICIPALIDAD DISTRITAL DE TAPO</v>
      </c>
      <c r="D1184" s="25" t="str">
        <f ca="1">IFERROR(__xludf.DUMMYFUNCTION("""COMPUTED_VALUE"""),"JUNÍN")</f>
        <v>JUNÍN</v>
      </c>
      <c r="E1184" s="25" t="str">
        <f ca="1">IFERROR(__xludf.DUMMYFUNCTION("""COMPUTED_VALUE"""),"JUNÍN")</f>
        <v>JUNÍN</v>
      </c>
      <c r="F1184" s="25" t="str">
        <f ca="1">IFERROR(__xludf.DUMMYFUNCTION("""COMPUTED_VALUE"""),"TARMA")</f>
        <v>TARMA</v>
      </c>
      <c r="G1184" s="25" t="str">
        <f ca="1">IFERROR(__xludf.DUMMYFUNCTION("""COMPUTED_VALUE"""),"TAPO")</f>
        <v>TAPO</v>
      </c>
      <c r="H1184" s="25" t="str">
        <f ca="1">IFERROR(__xludf.DUMMYFUNCTION("""COMPUTED_VALUE"""),"RURAL")</f>
        <v>RURAL</v>
      </c>
      <c r="I1184" s="25" t="str">
        <f ca="1">IFERROR(__xludf.DUMMYFUNCTION("""COMPUTED_VALUE"""),"Prioridad 5")</f>
        <v>Prioridad 5</v>
      </c>
      <c r="J1184" s="43" t="s">
        <v>261</v>
      </c>
    </row>
    <row r="1185" spans="2:10">
      <c r="B1185" s="25" t="str">
        <f ca="1">IFERROR(__xludf.DUMMYFUNCTION("""COMPUTED_VALUE"""),"MUNICIPALIDAD PROVINCIAL")</f>
        <v>MUNICIPALIDAD PROVINCIAL</v>
      </c>
      <c r="C1185" s="25" t="str">
        <f ca="1">IFERROR(__xludf.DUMMYFUNCTION("""COMPUTED_VALUE"""),"MUNICIPALIDAD PROVINCIAL DE YAULI")</f>
        <v>MUNICIPALIDAD PROVINCIAL DE YAULI</v>
      </c>
      <c r="D1185" s="25" t="str">
        <f ca="1">IFERROR(__xludf.DUMMYFUNCTION("""COMPUTED_VALUE"""),"JUNÍN")</f>
        <v>JUNÍN</v>
      </c>
      <c r="E1185" s="25" t="str">
        <f ca="1">IFERROR(__xludf.DUMMYFUNCTION("""COMPUTED_VALUE"""),"JUNÍN")</f>
        <v>JUNÍN</v>
      </c>
      <c r="F1185" s="25" t="str">
        <f ca="1">IFERROR(__xludf.DUMMYFUNCTION("""COMPUTED_VALUE"""),"YAULI")</f>
        <v>YAULI</v>
      </c>
      <c r="G1185" s="25" t="str">
        <f ca="1">IFERROR(__xludf.DUMMYFUNCTION("""COMPUTED_VALUE"""),"LA OROYA")</f>
        <v>LA OROYA</v>
      </c>
      <c r="H1185" s="25" t="str">
        <f ca="1">IFERROR(__xludf.DUMMYFUNCTION("""COMPUTED_VALUE"""),"URBANO")</f>
        <v>URBANO</v>
      </c>
      <c r="I1185" s="25" t="str">
        <f ca="1">IFERROR(__xludf.DUMMYFUNCTION("""COMPUTED_VALUE"""),"Prioridad 1")</f>
        <v>Prioridad 1</v>
      </c>
      <c r="J1185" s="43" t="s">
        <v>261</v>
      </c>
    </row>
    <row r="1186" spans="2:10">
      <c r="B1186" s="25" t="str">
        <f ca="1">IFERROR(__xludf.DUMMYFUNCTION("""COMPUTED_VALUE"""),"MUNICIPALIDAD DISTRITAL")</f>
        <v>MUNICIPALIDAD DISTRITAL</v>
      </c>
      <c r="C1186" s="25" t="str">
        <f ca="1">IFERROR(__xludf.DUMMYFUNCTION("""COMPUTED_VALUE"""),"MUNICIPALIDAD DISTRITAL DE CHACAPALPA")</f>
        <v>MUNICIPALIDAD DISTRITAL DE CHACAPALPA</v>
      </c>
      <c r="D1186" s="25" t="str">
        <f ca="1">IFERROR(__xludf.DUMMYFUNCTION("""COMPUTED_VALUE"""),"JUNÍN")</f>
        <v>JUNÍN</v>
      </c>
      <c r="E1186" s="25" t="str">
        <f ca="1">IFERROR(__xludf.DUMMYFUNCTION("""COMPUTED_VALUE"""),"JUNÍN")</f>
        <v>JUNÍN</v>
      </c>
      <c r="F1186" s="25" t="str">
        <f ca="1">IFERROR(__xludf.DUMMYFUNCTION("""COMPUTED_VALUE"""),"YAULI")</f>
        <v>YAULI</v>
      </c>
      <c r="G1186" s="25" t="str">
        <f ca="1">IFERROR(__xludf.DUMMYFUNCTION("""COMPUTED_VALUE"""),"CHACAPALPA")</f>
        <v>CHACAPALPA</v>
      </c>
      <c r="H1186" s="25" t="str">
        <f ca="1">IFERROR(__xludf.DUMMYFUNCTION("""COMPUTED_VALUE"""),"RURAL")</f>
        <v>RURAL</v>
      </c>
      <c r="I1186" s="25" t="str">
        <f ca="1">IFERROR(__xludf.DUMMYFUNCTION("""COMPUTED_VALUE"""),"Prioridad 5")</f>
        <v>Prioridad 5</v>
      </c>
      <c r="J1186" s="43" t="s">
        <v>261</v>
      </c>
    </row>
    <row r="1187" spans="2:10">
      <c r="B1187" s="25" t="str">
        <f ca="1">IFERROR(__xludf.DUMMYFUNCTION("""COMPUTED_VALUE"""),"MUNICIPALIDAD DISTRITAL")</f>
        <v>MUNICIPALIDAD DISTRITAL</v>
      </c>
      <c r="C1187" s="25" t="str">
        <f ca="1">IFERROR(__xludf.DUMMYFUNCTION("""COMPUTED_VALUE"""),"MUNICIPALIDAD DISTRITAL DE HUAY-HUAY")</f>
        <v>MUNICIPALIDAD DISTRITAL DE HUAY-HUAY</v>
      </c>
      <c r="D1187" s="25" t="str">
        <f ca="1">IFERROR(__xludf.DUMMYFUNCTION("""COMPUTED_VALUE"""),"JUNÍN")</f>
        <v>JUNÍN</v>
      </c>
      <c r="E1187" s="25" t="str">
        <f ca="1">IFERROR(__xludf.DUMMYFUNCTION("""COMPUTED_VALUE"""),"JUNÍN")</f>
        <v>JUNÍN</v>
      </c>
      <c r="F1187" s="25" t="str">
        <f ca="1">IFERROR(__xludf.DUMMYFUNCTION("""COMPUTED_VALUE"""),"YAULI")</f>
        <v>YAULI</v>
      </c>
      <c r="G1187" s="25" t="str">
        <f ca="1">IFERROR(__xludf.DUMMYFUNCTION("""COMPUTED_VALUE"""),"HUAY-HUAY")</f>
        <v>HUAY-HUAY</v>
      </c>
      <c r="H1187" s="25" t="str">
        <f ca="1">IFERROR(__xludf.DUMMYFUNCTION("""COMPUTED_VALUE"""),"RURAL")</f>
        <v>RURAL</v>
      </c>
      <c r="I1187" s="25" t="str">
        <f ca="1">IFERROR(__xludf.DUMMYFUNCTION("""COMPUTED_VALUE"""),"Prioridad 2")</f>
        <v>Prioridad 2</v>
      </c>
      <c r="J1187" s="43" t="s">
        <v>261</v>
      </c>
    </row>
    <row r="1188" spans="2:10">
      <c r="B1188" s="25" t="str">
        <f ca="1">IFERROR(__xludf.DUMMYFUNCTION("""COMPUTED_VALUE"""),"MUNICIPALIDAD DISTRITAL")</f>
        <v>MUNICIPALIDAD DISTRITAL</v>
      </c>
      <c r="C1188" s="25" t="str">
        <f ca="1">IFERROR(__xludf.DUMMYFUNCTION("""COMPUTED_VALUE"""),"MUNICIPALIDAD DISTRITAL DE MARCAPOMACOCHA")</f>
        <v>MUNICIPALIDAD DISTRITAL DE MARCAPOMACOCHA</v>
      </c>
      <c r="D1188" s="25" t="str">
        <f ca="1">IFERROR(__xludf.DUMMYFUNCTION("""COMPUTED_VALUE"""),"JUNÍN")</f>
        <v>JUNÍN</v>
      </c>
      <c r="E1188" s="25" t="str">
        <f ca="1">IFERROR(__xludf.DUMMYFUNCTION("""COMPUTED_VALUE"""),"JUNÍN")</f>
        <v>JUNÍN</v>
      </c>
      <c r="F1188" s="25" t="str">
        <f ca="1">IFERROR(__xludf.DUMMYFUNCTION("""COMPUTED_VALUE"""),"YAULI")</f>
        <v>YAULI</v>
      </c>
      <c r="G1188" s="25" t="str">
        <f ca="1">IFERROR(__xludf.DUMMYFUNCTION("""COMPUTED_VALUE"""),"MARCAPOMACOCHA")</f>
        <v>MARCAPOMACOCHA</v>
      </c>
      <c r="H1188" s="25" t="str">
        <f ca="1">IFERROR(__xludf.DUMMYFUNCTION("""COMPUTED_VALUE"""),"RURAL")</f>
        <v>RURAL</v>
      </c>
      <c r="I1188" s="25" t="str">
        <f ca="1">IFERROR(__xludf.DUMMYFUNCTION("""COMPUTED_VALUE"""),"Prioridad 5")</f>
        <v>Prioridad 5</v>
      </c>
      <c r="J1188" s="43" t="s">
        <v>261</v>
      </c>
    </row>
    <row r="1189" spans="2:10">
      <c r="B1189" s="25" t="str">
        <f ca="1">IFERROR(__xludf.DUMMYFUNCTION("""COMPUTED_VALUE"""),"MUNICIPALIDAD DISTRITAL")</f>
        <v>MUNICIPALIDAD DISTRITAL</v>
      </c>
      <c r="C1189" s="25" t="str">
        <f ca="1">IFERROR(__xludf.DUMMYFUNCTION("""COMPUTED_VALUE"""),"MUNICIPALIDAD DISTRITAL DE MOROCOCHA")</f>
        <v>MUNICIPALIDAD DISTRITAL DE MOROCOCHA</v>
      </c>
      <c r="D1189" s="25" t="str">
        <f ca="1">IFERROR(__xludf.DUMMYFUNCTION("""COMPUTED_VALUE"""),"JUNÍN")</f>
        <v>JUNÍN</v>
      </c>
      <c r="E1189" s="25" t="str">
        <f ca="1">IFERROR(__xludf.DUMMYFUNCTION("""COMPUTED_VALUE"""),"JUNÍN")</f>
        <v>JUNÍN</v>
      </c>
      <c r="F1189" s="25" t="str">
        <f ca="1">IFERROR(__xludf.DUMMYFUNCTION("""COMPUTED_VALUE"""),"YAULI")</f>
        <v>YAULI</v>
      </c>
      <c r="G1189" s="25" t="str">
        <f ca="1">IFERROR(__xludf.DUMMYFUNCTION("""COMPUTED_VALUE"""),"MOROCOCHA")</f>
        <v>MOROCOCHA</v>
      </c>
      <c r="H1189" s="25" t="str">
        <f ca="1">IFERROR(__xludf.DUMMYFUNCTION("""COMPUTED_VALUE"""),"URBANO")</f>
        <v>URBANO</v>
      </c>
      <c r="I1189" s="25" t="str">
        <f ca="1">IFERROR(__xludf.DUMMYFUNCTION("""COMPUTED_VALUE"""),"Prioridad 2")</f>
        <v>Prioridad 2</v>
      </c>
      <c r="J1189" s="43" t="s">
        <v>261</v>
      </c>
    </row>
    <row r="1190" spans="2:10">
      <c r="B1190" s="25" t="str">
        <f ca="1">IFERROR(__xludf.DUMMYFUNCTION("""COMPUTED_VALUE"""),"MUNICIPALIDAD DISTRITAL")</f>
        <v>MUNICIPALIDAD DISTRITAL</v>
      </c>
      <c r="C1190" s="25" t="str">
        <f ca="1">IFERROR(__xludf.DUMMYFUNCTION("""COMPUTED_VALUE"""),"MUNICIPALIDAD DISTRITAL DE PACCHA EN YAULI")</f>
        <v>MUNICIPALIDAD DISTRITAL DE PACCHA EN YAULI</v>
      </c>
      <c r="D1190" s="25" t="str">
        <f ca="1">IFERROR(__xludf.DUMMYFUNCTION("""COMPUTED_VALUE"""),"JUNÍN")</f>
        <v>JUNÍN</v>
      </c>
      <c r="E1190" s="25" t="str">
        <f ca="1">IFERROR(__xludf.DUMMYFUNCTION("""COMPUTED_VALUE"""),"JUNÍN")</f>
        <v>JUNÍN</v>
      </c>
      <c r="F1190" s="25" t="str">
        <f ca="1">IFERROR(__xludf.DUMMYFUNCTION("""COMPUTED_VALUE"""),"YAULI")</f>
        <v>YAULI</v>
      </c>
      <c r="G1190" s="25" t="str">
        <f ca="1">IFERROR(__xludf.DUMMYFUNCTION("""COMPUTED_VALUE"""),"PACCHA")</f>
        <v>PACCHA</v>
      </c>
      <c r="H1190" s="25" t="str">
        <f ca="1">IFERROR(__xludf.DUMMYFUNCTION("""COMPUTED_VALUE"""),"RURAL")</f>
        <v>RURAL</v>
      </c>
      <c r="I1190" s="25" t="str">
        <f ca="1">IFERROR(__xludf.DUMMYFUNCTION("""COMPUTED_VALUE"""),"Prioridad 2")</f>
        <v>Prioridad 2</v>
      </c>
      <c r="J1190" s="43" t="s">
        <v>261</v>
      </c>
    </row>
    <row r="1191" spans="2:10">
      <c r="B1191" s="25" t="str">
        <f ca="1">IFERROR(__xludf.DUMMYFUNCTION("""COMPUTED_VALUE"""),"MUNICIPALIDAD DISTRITAL")</f>
        <v>MUNICIPALIDAD DISTRITAL</v>
      </c>
      <c r="C1191" s="25" t="str">
        <f ca="1">IFERROR(__xludf.DUMMYFUNCTION("""COMPUTED_VALUE"""),"MUNICIPALIDAD DISTRITAL DE SANTA BARBARA DE CARHUACAYAN")</f>
        <v>MUNICIPALIDAD DISTRITAL DE SANTA BARBARA DE CARHUACAYAN</v>
      </c>
      <c r="D1191" s="25" t="str">
        <f ca="1">IFERROR(__xludf.DUMMYFUNCTION("""COMPUTED_VALUE"""),"JUNÍN")</f>
        <v>JUNÍN</v>
      </c>
      <c r="E1191" s="25" t="str">
        <f ca="1">IFERROR(__xludf.DUMMYFUNCTION("""COMPUTED_VALUE"""),"JUNÍN")</f>
        <v>JUNÍN</v>
      </c>
      <c r="F1191" s="25" t="str">
        <f ca="1">IFERROR(__xludf.DUMMYFUNCTION("""COMPUTED_VALUE"""),"YAULI")</f>
        <v>YAULI</v>
      </c>
      <c r="G1191" s="25" t="str">
        <f ca="1">IFERROR(__xludf.DUMMYFUNCTION("""COMPUTED_VALUE"""),"SANTA BARBARA DE CARHUACAYAN")</f>
        <v>SANTA BARBARA DE CARHUACAYAN</v>
      </c>
      <c r="H1191" s="25" t="str">
        <f ca="1">IFERROR(__xludf.DUMMYFUNCTION("""COMPUTED_VALUE"""),"RURAL")</f>
        <v>RURAL</v>
      </c>
      <c r="I1191" s="25" t="str">
        <f ca="1">IFERROR(__xludf.DUMMYFUNCTION("""COMPUTED_VALUE"""),"Prioridad 3")</f>
        <v>Prioridad 3</v>
      </c>
      <c r="J1191" s="43" t="s">
        <v>261</v>
      </c>
    </row>
    <row r="1192" spans="2:10">
      <c r="B1192" s="25" t="str">
        <f ca="1">IFERROR(__xludf.DUMMYFUNCTION("""COMPUTED_VALUE"""),"MUNICIPALIDAD DISTRITAL")</f>
        <v>MUNICIPALIDAD DISTRITAL</v>
      </c>
      <c r="C1192" s="25" t="str">
        <f ca="1">IFERROR(__xludf.DUMMYFUNCTION("""COMPUTED_VALUE"""),"MUNICIPALIDAD DISTRITAL DE SANTA ROSA DE SACCO")</f>
        <v>MUNICIPALIDAD DISTRITAL DE SANTA ROSA DE SACCO</v>
      </c>
      <c r="D1192" s="25" t="str">
        <f ca="1">IFERROR(__xludf.DUMMYFUNCTION("""COMPUTED_VALUE"""),"JUNÍN")</f>
        <v>JUNÍN</v>
      </c>
      <c r="E1192" s="25" t="str">
        <f ca="1">IFERROR(__xludf.DUMMYFUNCTION("""COMPUTED_VALUE"""),"JUNÍN")</f>
        <v>JUNÍN</v>
      </c>
      <c r="F1192" s="25" t="str">
        <f ca="1">IFERROR(__xludf.DUMMYFUNCTION("""COMPUTED_VALUE"""),"YAULI")</f>
        <v>YAULI</v>
      </c>
      <c r="G1192" s="25" t="str">
        <f ca="1">IFERROR(__xludf.DUMMYFUNCTION("""COMPUTED_VALUE"""),"SANTA ROSA DE SACCO")</f>
        <v>SANTA ROSA DE SACCO</v>
      </c>
      <c r="H1192" s="25" t="str">
        <f ca="1">IFERROR(__xludf.DUMMYFUNCTION("""COMPUTED_VALUE"""),"URBANO")</f>
        <v>URBANO</v>
      </c>
      <c r="I1192" s="25" t="str">
        <f ca="1">IFERROR(__xludf.DUMMYFUNCTION("""COMPUTED_VALUE"""),"Prioridad 2")</f>
        <v>Prioridad 2</v>
      </c>
      <c r="J1192" s="43" t="s">
        <v>261</v>
      </c>
    </row>
    <row r="1193" spans="2:10">
      <c r="B1193" s="25" t="str">
        <f ca="1">IFERROR(__xludf.DUMMYFUNCTION("""COMPUTED_VALUE"""),"MUNICIPALIDAD DISTRITAL")</f>
        <v>MUNICIPALIDAD DISTRITAL</v>
      </c>
      <c r="C1193" s="25" t="str">
        <f ca="1">IFERROR(__xludf.DUMMYFUNCTION("""COMPUTED_VALUE"""),"MUNICIPALIDAD DISTRITAL DE SUITUCANCHA")</f>
        <v>MUNICIPALIDAD DISTRITAL DE SUITUCANCHA</v>
      </c>
      <c r="D1193" s="25" t="str">
        <f ca="1">IFERROR(__xludf.DUMMYFUNCTION("""COMPUTED_VALUE"""),"JUNÍN")</f>
        <v>JUNÍN</v>
      </c>
      <c r="E1193" s="25" t="str">
        <f ca="1">IFERROR(__xludf.DUMMYFUNCTION("""COMPUTED_VALUE"""),"JUNÍN")</f>
        <v>JUNÍN</v>
      </c>
      <c r="F1193" s="25" t="str">
        <f ca="1">IFERROR(__xludf.DUMMYFUNCTION("""COMPUTED_VALUE"""),"YAULI")</f>
        <v>YAULI</v>
      </c>
      <c r="G1193" s="25" t="str">
        <f ca="1">IFERROR(__xludf.DUMMYFUNCTION("""COMPUTED_VALUE"""),"SUITUCANCHA")</f>
        <v>SUITUCANCHA</v>
      </c>
      <c r="H1193" s="25" t="str">
        <f ca="1">IFERROR(__xludf.DUMMYFUNCTION("""COMPUTED_VALUE"""),"RURAL")</f>
        <v>RURAL</v>
      </c>
      <c r="I1193" s="25" t="str">
        <f ca="1">IFERROR(__xludf.DUMMYFUNCTION("""COMPUTED_VALUE"""),"Prioridad 2")</f>
        <v>Prioridad 2</v>
      </c>
      <c r="J1193" s="43" t="s">
        <v>261</v>
      </c>
    </row>
    <row r="1194" spans="2:10">
      <c r="B1194" s="25" t="str">
        <f ca="1">IFERROR(__xludf.DUMMYFUNCTION("""COMPUTED_VALUE"""),"MUNICIPALIDAD DISTRITAL")</f>
        <v>MUNICIPALIDAD DISTRITAL</v>
      </c>
      <c r="C1194" s="25" t="str">
        <f ca="1">IFERROR(__xludf.DUMMYFUNCTION("""COMPUTED_VALUE"""),"MUNICIPALIDAD DISTRITAL DE YAULI EN YAULI")</f>
        <v>MUNICIPALIDAD DISTRITAL DE YAULI EN YAULI</v>
      </c>
      <c r="D1194" s="25" t="str">
        <f ca="1">IFERROR(__xludf.DUMMYFUNCTION("""COMPUTED_VALUE"""),"JUNÍN")</f>
        <v>JUNÍN</v>
      </c>
      <c r="E1194" s="25" t="str">
        <f ca="1">IFERROR(__xludf.DUMMYFUNCTION("""COMPUTED_VALUE"""),"JUNÍN")</f>
        <v>JUNÍN</v>
      </c>
      <c r="F1194" s="25" t="str">
        <f ca="1">IFERROR(__xludf.DUMMYFUNCTION("""COMPUTED_VALUE"""),"YAULI")</f>
        <v>YAULI</v>
      </c>
      <c r="G1194" s="25" t="str">
        <f ca="1">IFERROR(__xludf.DUMMYFUNCTION("""COMPUTED_VALUE"""),"YAULI")</f>
        <v>YAULI</v>
      </c>
      <c r="H1194" s="25" t="str">
        <f ca="1">IFERROR(__xludf.DUMMYFUNCTION("""COMPUTED_VALUE"""),"URBANO")</f>
        <v>URBANO</v>
      </c>
      <c r="I1194" s="25" t="str">
        <f ca="1">IFERROR(__xludf.DUMMYFUNCTION("""COMPUTED_VALUE"""),"Prioridad 2")</f>
        <v>Prioridad 2</v>
      </c>
      <c r="J1194" s="43" t="s">
        <v>261</v>
      </c>
    </row>
    <row r="1195" spans="2:10">
      <c r="B1195" s="25" t="str">
        <f ca="1">IFERROR(__xludf.DUMMYFUNCTION("""COMPUTED_VALUE"""),"MUNICIPALIDAD PROVINCIAL")</f>
        <v>MUNICIPALIDAD PROVINCIAL</v>
      </c>
      <c r="C1195" s="25" t="str">
        <f ca="1">IFERROR(__xludf.DUMMYFUNCTION("""COMPUTED_VALUE"""),"MUNICIPALIDAD PROVINCIAL DE ASCOPE")</f>
        <v>MUNICIPALIDAD PROVINCIAL DE ASCOPE</v>
      </c>
      <c r="D1195" s="25" t="str">
        <f ca="1">IFERROR(__xludf.DUMMYFUNCTION("""COMPUTED_VALUE"""),"LA LIBERTAD")</f>
        <v>LA LIBERTAD</v>
      </c>
      <c r="E1195" s="25" t="str">
        <f ca="1">IFERROR(__xludf.DUMMYFUNCTION("""COMPUTED_VALUE"""),"LA LIBERTAD")</f>
        <v>LA LIBERTAD</v>
      </c>
      <c r="F1195" s="25" t="str">
        <f ca="1">IFERROR(__xludf.DUMMYFUNCTION("""COMPUTED_VALUE"""),"ASCOPE")</f>
        <v>ASCOPE</v>
      </c>
      <c r="G1195" s="25" t="str">
        <f ca="1">IFERROR(__xludf.DUMMYFUNCTION("""COMPUTED_VALUE"""),"ASCOPE")</f>
        <v>ASCOPE</v>
      </c>
      <c r="H1195" s="25" t="str">
        <f ca="1">IFERROR(__xludf.DUMMYFUNCTION("""COMPUTED_VALUE"""),"URBANO")</f>
        <v>URBANO</v>
      </c>
      <c r="I1195" s="25" t="str">
        <f ca="1">IFERROR(__xludf.DUMMYFUNCTION("""COMPUTED_VALUE"""),"Prioridad 2")</f>
        <v>Prioridad 2</v>
      </c>
      <c r="J1195" s="43" t="s">
        <v>261</v>
      </c>
    </row>
    <row r="1196" spans="2:10">
      <c r="B1196" s="25" t="str">
        <f ca="1">IFERROR(__xludf.DUMMYFUNCTION("""COMPUTED_VALUE"""),"MUNICIPALIDAD DISTRITAL")</f>
        <v>MUNICIPALIDAD DISTRITAL</v>
      </c>
      <c r="C1196" s="25" t="str">
        <f ca="1">IFERROR(__xludf.DUMMYFUNCTION("""COMPUTED_VALUE"""),"MUNICIPALIDAD DISTRITAL DE CASA GRANDE")</f>
        <v>MUNICIPALIDAD DISTRITAL DE CASA GRANDE</v>
      </c>
      <c r="D1196" s="25" t="str">
        <f ca="1">IFERROR(__xludf.DUMMYFUNCTION("""COMPUTED_VALUE"""),"LA LIBERTAD")</f>
        <v>LA LIBERTAD</v>
      </c>
      <c r="E1196" s="25" t="str">
        <f ca="1">IFERROR(__xludf.DUMMYFUNCTION("""COMPUTED_VALUE"""),"LA LIBERTAD")</f>
        <v>LA LIBERTAD</v>
      </c>
      <c r="F1196" s="25" t="str">
        <f ca="1">IFERROR(__xludf.DUMMYFUNCTION("""COMPUTED_VALUE"""),"ASCOPE")</f>
        <v>ASCOPE</v>
      </c>
      <c r="G1196" s="25" t="str">
        <f ca="1">IFERROR(__xludf.DUMMYFUNCTION("""COMPUTED_VALUE"""),"CASA GRANDE")</f>
        <v>CASA GRANDE</v>
      </c>
      <c r="H1196" s="25" t="str">
        <f ca="1">IFERROR(__xludf.DUMMYFUNCTION("""COMPUTED_VALUE"""),"URBANO")</f>
        <v>URBANO</v>
      </c>
      <c r="I1196" s="25" t="str">
        <f ca="1">IFERROR(__xludf.DUMMYFUNCTION("""COMPUTED_VALUE"""),"Prioridad 2")</f>
        <v>Prioridad 2</v>
      </c>
      <c r="J1196" s="43" t="s">
        <v>261</v>
      </c>
    </row>
    <row r="1197" spans="2:10">
      <c r="B1197" s="25" t="str">
        <f ca="1">IFERROR(__xludf.DUMMYFUNCTION("""COMPUTED_VALUE"""),"MUNICIPALIDAD DISTRITAL")</f>
        <v>MUNICIPALIDAD DISTRITAL</v>
      </c>
      <c r="C1197" s="25" t="str">
        <f ca="1">IFERROR(__xludf.DUMMYFUNCTION("""COMPUTED_VALUE"""),"MUNICIPALIDAD DISTRITAL DE CHICAMA")</f>
        <v>MUNICIPALIDAD DISTRITAL DE CHICAMA</v>
      </c>
      <c r="D1197" s="25" t="str">
        <f ca="1">IFERROR(__xludf.DUMMYFUNCTION("""COMPUTED_VALUE"""),"LA LIBERTAD")</f>
        <v>LA LIBERTAD</v>
      </c>
      <c r="E1197" s="25" t="str">
        <f ca="1">IFERROR(__xludf.DUMMYFUNCTION("""COMPUTED_VALUE"""),"LA LIBERTAD")</f>
        <v>LA LIBERTAD</v>
      </c>
      <c r="F1197" s="25" t="str">
        <f ca="1">IFERROR(__xludf.DUMMYFUNCTION("""COMPUTED_VALUE"""),"ASCOPE")</f>
        <v>ASCOPE</v>
      </c>
      <c r="G1197" s="25" t="str">
        <f ca="1">IFERROR(__xludf.DUMMYFUNCTION("""COMPUTED_VALUE"""),"CHICAMA")</f>
        <v>CHICAMA</v>
      </c>
      <c r="H1197" s="25" t="str">
        <f ca="1">IFERROR(__xludf.DUMMYFUNCTION("""COMPUTED_VALUE"""),"URBANO")</f>
        <v>URBANO</v>
      </c>
      <c r="I1197" s="25" t="str">
        <f ca="1">IFERROR(__xludf.DUMMYFUNCTION("""COMPUTED_VALUE"""),"Prioridad 2")</f>
        <v>Prioridad 2</v>
      </c>
      <c r="J1197" s="43" t="s">
        <v>261</v>
      </c>
    </row>
    <row r="1198" spans="2:10">
      <c r="B1198" s="25" t="str">
        <f ca="1">IFERROR(__xludf.DUMMYFUNCTION("""COMPUTED_VALUE"""),"MUNICIPALIDAD DISTRITAL")</f>
        <v>MUNICIPALIDAD DISTRITAL</v>
      </c>
      <c r="C1198" s="25" t="str">
        <f ca="1">IFERROR(__xludf.DUMMYFUNCTION("""COMPUTED_VALUE"""),"MUNICIPALIDAD DISTRITAL DE CHOCOPE")</f>
        <v>MUNICIPALIDAD DISTRITAL DE CHOCOPE</v>
      </c>
      <c r="D1198" s="25" t="str">
        <f ca="1">IFERROR(__xludf.DUMMYFUNCTION("""COMPUTED_VALUE"""),"LA LIBERTAD")</f>
        <v>LA LIBERTAD</v>
      </c>
      <c r="E1198" s="25" t="str">
        <f ca="1">IFERROR(__xludf.DUMMYFUNCTION("""COMPUTED_VALUE"""),"LA LIBERTAD")</f>
        <v>LA LIBERTAD</v>
      </c>
      <c r="F1198" s="25" t="str">
        <f ca="1">IFERROR(__xludf.DUMMYFUNCTION("""COMPUTED_VALUE"""),"ASCOPE")</f>
        <v>ASCOPE</v>
      </c>
      <c r="G1198" s="25" t="str">
        <f ca="1">IFERROR(__xludf.DUMMYFUNCTION("""COMPUTED_VALUE"""),"CHOCOPE")</f>
        <v>CHOCOPE</v>
      </c>
      <c r="H1198" s="25" t="str">
        <f ca="1">IFERROR(__xludf.DUMMYFUNCTION("""COMPUTED_VALUE"""),"URBANO")</f>
        <v>URBANO</v>
      </c>
      <c r="I1198" s="25" t="str">
        <f ca="1">IFERROR(__xludf.DUMMYFUNCTION("""COMPUTED_VALUE"""),"Prioridad 2")</f>
        <v>Prioridad 2</v>
      </c>
      <c r="J1198" s="43" t="s">
        <v>261</v>
      </c>
    </row>
    <row r="1199" spans="2:10">
      <c r="B1199" s="25" t="str">
        <f ca="1">IFERROR(__xludf.DUMMYFUNCTION("""COMPUTED_VALUE"""),"MUNICIPALIDAD DISTRITAL")</f>
        <v>MUNICIPALIDAD DISTRITAL</v>
      </c>
      <c r="C1199" s="25" t="str">
        <f ca="1">IFERROR(__xludf.DUMMYFUNCTION("""COMPUTED_VALUE"""),"MUNICIPALIDAD DISTRITAL DE MAGDALENA DE CAO")</f>
        <v>MUNICIPALIDAD DISTRITAL DE MAGDALENA DE CAO</v>
      </c>
      <c r="D1199" s="25" t="str">
        <f ca="1">IFERROR(__xludf.DUMMYFUNCTION("""COMPUTED_VALUE"""),"LA LIBERTAD")</f>
        <v>LA LIBERTAD</v>
      </c>
      <c r="E1199" s="25" t="str">
        <f ca="1">IFERROR(__xludf.DUMMYFUNCTION("""COMPUTED_VALUE"""),"LA LIBERTAD")</f>
        <v>LA LIBERTAD</v>
      </c>
      <c r="F1199" s="25" t="str">
        <f ca="1">IFERROR(__xludf.DUMMYFUNCTION("""COMPUTED_VALUE"""),"ASCOPE")</f>
        <v>ASCOPE</v>
      </c>
      <c r="G1199" s="25" t="str">
        <f ca="1">IFERROR(__xludf.DUMMYFUNCTION("""COMPUTED_VALUE"""),"MAGDALENA DE CAO")</f>
        <v>MAGDALENA DE CAO</v>
      </c>
      <c r="H1199" s="25" t="str">
        <f ca="1">IFERROR(__xludf.DUMMYFUNCTION("""COMPUTED_VALUE"""),"RURAL")</f>
        <v>RURAL</v>
      </c>
      <c r="I1199" s="25" t="str">
        <f ca="1">IFERROR(__xludf.DUMMYFUNCTION("""COMPUTED_VALUE"""),"Prioridad 2")</f>
        <v>Prioridad 2</v>
      </c>
      <c r="J1199" s="43" t="s">
        <v>261</v>
      </c>
    </row>
    <row r="1200" spans="2:10">
      <c r="B1200" s="25" t="str">
        <f ca="1">IFERROR(__xludf.DUMMYFUNCTION("""COMPUTED_VALUE"""),"MUNICIPALIDAD DISTRITAL")</f>
        <v>MUNICIPALIDAD DISTRITAL</v>
      </c>
      <c r="C1200" s="25" t="str">
        <f ca="1">IFERROR(__xludf.DUMMYFUNCTION("""COMPUTED_VALUE"""),"MUNICIPALIDAD DISTRITAL DE PAIJAN")</f>
        <v>MUNICIPALIDAD DISTRITAL DE PAIJAN</v>
      </c>
      <c r="D1200" s="25" t="str">
        <f ca="1">IFERROR(__xludf.DUMMYFUNCTION("""COMPUTED_VALUE"""),"LA LIBERTAD")</f>
        <v>LA LIBERTAD</v>
      </c>
      <c r="E1200" s="25" t="str">
        <f ca="1">IFERROR(__xludf.DUMMYFUNCTION("""COMPUTED_VALUE"""),"LA LIBERTAD")</f>
        <v>LA LIBERTAD</v>
      </c>
      <c r="F1200" s="25" t="str">
        <f ca="1">IFERROR(__xludf.DUMMYFUNCTION("""COMPUTED_VALUE"""),"ASCOPE")</f>
        <v>ASCOPE</v>
      </c>
      <c r="G1200" s="25" t="str">
        <f ca="1">IFERROR(__xludf.DUMMYFUNCTION("""COMPUTED_VALUE"""),"PAIJAN")</f>
        <v>PAIJAN</v>
      </c>
      <c r="H1200" s="25" t="str">
        <f ca="1">IFERROR(__xludf.DUMMYFUNCTION("""COMPUTED_VALUE"""),"URBANO")</f>
        <v>URBANO</v>
      </c>
      <c r="I1200" s="25" t="str">
        <f ca="1">IFERROR(__xludf.DUMMYFUNCTION("""COMPUTED_VALUE"""),"Prioridad 2")</f>
        <v>Prioridad 2</v>
      </c>
      <c r="J1200" s="43" t="s">
        <v>261</v>
      </c>
    </row>
    <row r="1201" spans="2:10">
      <c r="B1201" s="25" t="str">
        <f ca="1">IFERROR(__xludf.DUMMYFUNCTION("""COMPUTED_VALUE"""),"MUNICIPALIDAD DISTRITAL")</f>
        <v>MUNICIPALIDAD DISTRITAL</v>
      </c>
      <c r="C1201" s="25" t="str">
        <f ca="1">IFERROR(__xludf.DUMMYFUNCTION("""COMPUTED_VALUE"""),"MUNICIPALIDAD DISTRITAL DE RAZURI")</f>
        <v>MUNICIPALIDAD DISTRITAL DE RAZURI</v>
      </c>
      <c r="D1201" s="25" t="str">
        <f ca="1">IFERROR(__xludf.DUMMYFUNCTION("""COMPUTED_VALUE"""),"LA LIBERTAD")</f>
        <v>LA LIBERTAD</v>
      </c>
      <c r="E1201" s="25" t="str">
        <f ca="1">IFERROR(__xludf.DUMMYFUNCTION("""COMPUTED_VALUE"""),"LA LIBERTAD")</f>
        <v>LA LIBERTAD</v>
      </c>
      <c r="F1201" s="25" t="str">
        <f ca="1">IFERROR(__xludf.DUMMYFUNCTION("""COMPUTED_VALUE"""),"ASCOPE")</f>
        <v>ASCOPE</v>
      </c>
      <c r="G1201" s="25" t="str">
        <f ca="1">IFERROR(__xludf.DUMMYFUNCTION("""COMPUTED_VALUE"""),"RAZURI")</f>
        <v>RAZURI</v>
      </c>
      <c r="H1201" s="25" t="str">
        <f ca="1">IFERROR(__xludf.DUMMYFUNCTION("""COMPUTED_VALUE"""),"URBANO")</f>
        <v>URBANO</v>
      </c>
      <c r="I1201" s="25" t="str">
        <f ca="1">IFERROR(__xludf.DUMMYFUNCTION("""COMPUTED_VALUE"""),"Prioridad 2")</f>
        <v>Prioridad 2</v>
      </c>
      <c r="J1201" s="43" t="s">
        <v>261</v>
      </c>
    </row>
    <row r="1202" spans="2:10">
      <c r="B1202" s="25" t="str">
        <f ca="1">IFERROR(__xludf.DUMMYFUNCTION("""COMPUTED_VALUE"""),"MUNICIPALIDAD DISTRITAL")</f>
        <v>MUNICIPALIDAD DISTRITAL</v>
      </c>
      <c r="C1202" s="25" t="str">
        <f ca="1">IFERROR(__xludf.DUMMYFUNCTION("""COMPUTED_VALUE"""),"MUNICIPALIDAD DISTRITAL DE SANTIAGO DE CAO")</f>
        <v>MUNICIPALIDAD DISTRITAL DE SANTIAGO DE CAO</v>
      </c>
      <c r="D1202" s="25" t="str">
        <f ca="1">IFERROR(__xludf.DUMMYFUNCTION("""COMPUTED_VALUE"""),"LA LIBERTAD")</f>
        <v>LA LIBERTAD</v>
      </c>
      <c r="E1202" s="25" t="str">
        <f ca="1">IFERROR(__xludf.DUMMYFUNCTION("""COMPUTED_VALUE"""),"LA LIBERTAD")</f>
        <v>LA LIBERTAD</v>
      </c>
      <c r="F1202" s="25" t="str">
        <f ca="1">IFERROR(__xludf.DUMMYFUNCTION("""COMPUTED_VALUE"""),"ASCOPE")</f>
        <v>ASCOPE</v>
      </c>
      <c r="G1202" s="25" t="str">
        <f ca="1">IFERROR(__xludf.DUMMYFUNCTION("""COMPUTED_VALUE"""),"SANTIAGO DE CAO")</f>
        <v>SANTIAGO DE CAO</v>
      </c>
      <c r="H1202" s="25" t="str">
        <f ca="1">IFERROR(__xludf.DUMMYFUNCTION("""COMPUTED_VALUE"""),"URBANO")</f>
        <v>URBANO</v>
      </c>
      <c r="I1202" s="25" t="str">
        <f ca="1">IFERROR(__xludf.DUMMYFUNCTION("""COMPUTED_VALUE"""),"Prioridad 2")</f>
        <v>Prioridad 2</v>
      </c>
      <c r="J1202" s="43" t="s">
        <v>261</v>
      </c>
    </row>
    <row r="1203" spans="2:10">
      <c r="B1203" s="25" t="str">
        <f ca="1">IFERROR(__xludf.DUMMYFUNCTION("""COMPUTED_VALUE"""),"MUNICIPALIDAD PROVINCIAL")</f>
        <v>MUNICIPALIDAD PROVINCIAL</v>
      </c>
      <c r="C1203" s="25" t="str">
        <f ca="1">IFERROR(__xludf.DUMMYFUNCTION("""COMPUTED_VALUE"""),"MUNICIPALIDAD PROVINCIAL DE BOLIVAR")</f>
        <v>MUNICIPALIDAD PROVINCIAL DE BOLIVAR</v>
      </c>
      <c r="D1203" s="25" t="str">
        <f ca="1">IFERROR(__xludf.DUMMYFUNCTION("""COMPUTED_VALUE"""),"CAJAMARCA")</f>
        <v>CAJAMARCA</v>
      </c>
      <c r="E1203" s="25" t="str">
        <f ca="1">IFERROR(__xludf.DUMMYFUNCTION("""COMPUTED_VALUE"""),"LA LIBERTAD")</f>
        <v>LA LIBERTAD</v>
      </c>
      <c r="F1203" s="25" t="str">
        <f ca="1">IFERROR(__xludf.DUMMYFUNCTION("""COMPUTED_VALUE"""),"BOLIVAR")</f>
        <v>BOLIVAR</v>
      </c>
      <c r="G1203" s="25" t="str">
        <f ca="1">IFERROR(__xludf.DUMMYFUNCTION("""COMPUTED_VALUE"""),"BOLIVAR")</f>
        <v>BOLIVAR</v>
      </c>
      <c r="H1203" s="25" t="str">
        <f ca="1">IFERROR(__xludf.DUMMYFUNCTION("""COMPUTED_VALUE"""),"RURAL")</f>
        <v>RURAL</v>
      </c>
      <c r="I1203" s="25" t="str">
        <f ca="1">IFERROR(__xludf.DUMMYFUNCTION("""COMPUTED_VALUE"""),"Prioridad 2")</f>
        <v>Prioridad 2</v>
      </c>
      <c r="J1203" s="43" t="s">
        <v>261</v>
      </c>
    </row>
    <row r="1204" spans="2:10">
      <c r="B1204" s="25" t="str">
        <f ca="1">IFERROR(__xludf.DUMMYFUNCTION("""COMPUTED_VALUE"""),"MUNICIPALIDAD DISTRITAL")</f>
        <v>MUNICIPALIDAD DISTRITAL</v>
      </c>
      <c r="C1204" s="25" t="str">
        <f ca="1">IFERROR(__xludf.DUMMYFUNCTION("""COMPUTED_VALUE"""),"MUNICIPALIDAD DISTRITAL DE UCUNCHA")</f>
        <v>MUNICIPALIDAD DISTRITAL DE UCUNCHA</v>
      </c>
      <c r="D1204" s="25" t="str">
        <f ca="1">IFERROR(__xludf.DUMMYFUNCTION("""COMPUTED_VALUE"""),"CAJAMARCA")</f>
        <v>CAJAMARCA</v>
      </c>
      <c r="E1204" s="25" t="str">
        <f ca="1">IFERROR(__xludf.DUMMYFUNCTION("""COMPUTED_VALUE"""),"LA LIBERTAD")</f>
        <v>LA LIBERTAD</v>
      </c>
      <c r="F1204" s="25" t="str">
        <f ca="1">IFERROR(__xludf.DUMMYFUNCTION("""COMPUTED_VALUE"""),"BOLIVAR")</f>
        <v>BOLIVAR</v>
      </c>
      <c r="G1204" s="25" t="str">
        <f ca="1">IFERROR(__xludf.DUMMYFUNCTION("""COMPUTED_VALUE"""),"UCUNCHA")</f>
        <v>UCUNCHA</v>
      </c>
      <c r="H1204" s="25" t="str">
        <f ca="1">IFERROR(__xludf.DUMMYFUNCTION("""COMPUTED_VALUE"""),"RURAL")</f>
        <v>RURAL</v>
      </c>
      <c r="I1204" s="25" t="str">
        <f ca="1">IFERROR(__xludf.DUMMYFUNCTION("""COMPUTED_VALUE"""),"Prioridad 4")</f>
        <v>Prioridad 4</v>
      </c>
      <c r="J1204" s="43" t="s">
        <v>261</v>
      </c>
    </row>
    <row r="1205" spans="2:10">
      <c r="B1205" s="25" t="str">
        <f ca="1">IFERROR(__xludf.DUMMYFUNCTION("""COMPUTED_VALUE"""),"MUNICIPALIDAD DISTRITAL")</f>
        <v>MUNICIPALIDAD DISTRITAL</v>
      </c>
      <c r="C1205" s="25" t="str">
        <f ca="1">IFERROR(__xludf.DUMMYFUNCTION("""COMPUTED_VALUE"""),"MUNICIPALIDAD DISTRITAL DE BAMBAMARCA")</f>
        <v>MUNICIPALIDAD DISTRITAL DE BAMBAMARCA</v>
      </c>
      <c r="D1205" s="25" t="str">
        <f ca="1">IFERROR(__xludf.DUMMYFUNCTION("""COMPUTED_VALUE"""),"CAJAMARCA")</f>
        <v>CAJAMARCA</v>
      </c>
      <c r="E1205" s="25" t="str">
        <f ca="1">IFERROR(__xludf.DUMMYFUNCTION("""COMPUTED_VALUE"""),"LA LIBERTAD")</f>
        <v>LA LIBERTAD</v>
      </c>
      <c r="F1205" s="25" t="str">
        <f ca="1">IFERROR(__xludf.DUMMYFUNCTION("""COMPUTED_VALUE"""),"BOLIVAR")</f>
        <v>BOLIVAR</v>
      </c>
      <c r="G1205" s="25" t="str">
        <f ca="1">IFERROR(__xludf.DUMMYFUNCTION("""COMPUTED_VALUE"""),"BAMBAMARCA")</f>
        <v>BAMBAMARCA</v>
      </c>
      <c r="H1205" s="25" t="str">
        <f ca="1">IFERROR(__xludf.DUMMYFUNCTION("""COMPUTED_VALUE"""),"RURAL")</f>
        <v>RURAL</v>
      </c>
      <c r="I1205" s="25" t="str">
        <f ca="1">IFERROR(__xludf.DUMMYFUNCTION("""COMPUTED_VALUE"""),"Prioridad 5")</f>
        <v>Prioridad 5</v>
      </c>
      <c r="J1205" s="43" t="s">
        <v>261</v>
      </c>
    </row>
    <row r="1206" spans="2:10">
      <c r="B1206" s="25" t="str">
        <f ca="1">IFERROR(__xludf.DUMMYFUNCTION("""COMPUTED_VALUE"""),"MUNICIPALIDAD DISTRITAL")</f>
        <v>MUNICIPALIDAD DISTRITAL</v>
      </c>
      <c r="C1206" s="25" t="str">
        <f ca="1">IFERROR(__xludf.DUMMYFUNCTION("""COMPUTED_VALUE"""),"MUNICIPALIDAD DISTRITAL DE CONDORMARCA")</f>
        <v>MUNICIPALIDAD DISTRITAL DE CONDORMARCA</v>
      </c>
      <c r="D1206" s="25" t="str">
        <f ca="1">IFERROR(__xludf.DUMMYFUNCTION("""COMPUTED_VALUE"""),"CAJAMARCA")</f>
        <v>CAJAMARCA</v>
      </c>
      <c r="E1206" s="25" t="str">
        <f ca="1">IFERROR(__xludf.DUMMYFUNCTION("""COMPUTED_VALUE"""),"LA LIBERTAD")</f>
        <v>LA LIBERTAD</v>
      </c>
      <c r="F1206" s="25" t="str">
        <f ca="1">IFERROR(__xludf.DUMMYFUNCTION("""COMPUTED_VALUE"""),"BOLIVAR")</f>
        <v>BOLIVAR</v>
      </c>
      <c r="G1206" s="25" t="str">
        <f ca="1">IFERROR(__xludf.DUMMYFUNCTION("""COMPUTED_VALUE"""),"CONDORMARCA")</f>
        <v>CONDORMARCA</v>
      </c>
      <c r="H1206" s="25" t="str">
        <f ca="1">IFERROR(__xludf.DUMMYFUNCTION("""COMPUTED_VALUE"""),"RURAL")</f>
        <v>RURAL</v>
      </c>
      <c r="I1206" s="25" t="str">
        <f ca="1">IFERROR(__xludf.DUMMYFUNCTION("""COMPUTED_VALUE"""),"Prioridad 5")</f>
        <v>Prioridad 5</v>
      </c>
      <c r="J1206" s="43" t="s">
        <v>261</v>
      </c>
    </row>
    <row r="1207" spans="2:10">
      <c r="B1207" s="25" t="str">
        <f ca="1">IFERROR(__xludf.DUMMYFUNCTION("""COMPUTED_VALUE"""),"MUNICIPALIDAD DISTRITAL")</f>
        <v>MUNICIPALIDAD DISTRITAL</v>
      </c>
      <c r="C1207" s="25" t="str">
        <f ca="1">IFERROR(__xludf.DUMMYFUNCTION("""COMPUTED_VALUE"""),"MUNICIPALIDAD DISTRITAL DE LONGOTEA")</f>
        <v>MUNICIPALIDAD DISTRITAL DE LONGOTEA</v>
      </c>
      <c r="D1207" s="25" t="str">
        <f ca="1">IFERROR(__xludf.DUMMYFUNCTION("""COMPUTED_VALUE"""),"CAJAMARCA")</f>
        <v>CAJAMARCA</v>
      </c>
      <c r="E1207" s="25" t="str">
        <f ca="1">IFERROR(__xludf.DUMMYFUNCTION("""COMPUTED_VALUE"""),"LA LIBERTAD")</f>
        <v>LA LIBERTAD</v>
      </c>
      <c r="F1207" s="25" t="str">
        <f ca="1">IFERROR(__xludf.DUMMYFUNCTION("""COMPUTED_VALUE"""),"BOLIVAR")</f>
        <v>BOLIVAR</v>
      </c>
      <c r="G1207" s="25" t="str">
        <f ca="1">IFERROR(__xludf.DUMMYFUNCTION("""COMPUTED_VALUE"""),"LONGOTEA")</f>
        <v>LONGOTEA</v>
      </c>
      <c r="H1207" s="25" t="str">
        <f ca="1">IFERROR(__xludf.DUMMYFUNCTION("""COMPUTED_VALUE"""),"RURAL")</f>
        <v>RURAL</v>
      </c>
      <c r="I1207" s="25" t="str">
        <f ca="1">IFERROR(__xludf.DUMMYFUNCTION("""COMPUTED_VALUE"""),"Prioridad 4")</f>
        <v>Prioridad 4</v>
      </c>
      <c r="J1207" s="43" t="s">
        <v>261</v>
      </c>
    </row>
    <row r="1208" spans="2:10">
      <c r="B1208" s="25" t="str">
        <f ca="1">IFERROR(__xludf.DUMMYFUNCTION("""COMPUTED_VALUE"""),"MUNICIPALIDAD DISTRITAL")</f>
        <v>MUNICIPALIDAD DISTRITAL</v>
      </c>
      <c r="C1208" s="25" t="str">
        <f ca="1">IFERROR(__xludf.DUMMYFUNCTION("""COMPUTED_VALUE"""),"MUNICIPALIDAD DISTRITAL DE UCHUMARCA")</f>
        <v>MUNICIPALIDAD DISTRITAL DE UCHUMARCA</v>
      </c>
      <c r="D1208" s="25" t="str">
        <f ca="1">IFERROR(__xludf.DUMMYFUNCTION("""COMPUTED_VALUE"""),"CAJAMARCA")</f>
        <v>CAJAMARCA</v>
      </c>
      <c r="E1208" s="25" t="str">
        <f ca="1">IFERROR(__xludf.DUMMYFUNCTION("""COMPUTED_VALUE"""),"LA LIBERTAD")</f>
        <v>LA LIBERTAD</v>
      </c>
      <c r="F1208" s="25" t="str">
        <f ca="1">IFERROR(__xludf.DUMMYFUNCTION("""COMPUTED_VALUE"""),"BOLIVAR")</f>
        <v>BOLIVAR</v>
      </c>
      <c r="G1208" s="25" t="str">
        <f ca="1">IFERROR(__xludf.DUMMYFUNCTION("""COMPUTED_VALUE"""),"UCHUMARCA")</f>
        <v>UCHUMARCA</v>
      </c>
      <c r="H1208" s="25" t="str">
        <f ca="1">IFERROR(__xludf.DUMMYFUNCTION("""COMPUTED_VALUE"""),"RURAL")</f>
        <v>RURAL</v>
      </c>
      <c r="I1208" s="25" t="str">
        <f ca="1">IFERROR(__xludf.DUMMYFUNCTION("""COMPUTED_VALUE"""),"Prioridad 5")</f>
        <v>Prioridad 5</v>
      </c>
      <c r="J1208" s="43" t="s">
        <v>261</v>
      </c>
    </row>
    <row r="1209" spans="2:10">
      <c r="B1209" s="25" t="str">
        <f ca="1">IFERROR(__xludf.DUMMYFUNCTION("""COMPUTED_VALUE"""),"MUNICIPALIDAD PROVINCIAL")</f>
        <v>MUNICIPALIDAD PROVINCIAL</v>
      </c>
      <c r="C1209" s="25" t="str">
        <f ca="1">IFERROR(__xludf.DUMMYFUNCTION("""COMPUTED_VALUE"""),"MUNICIPALIDAD PROVINCIAL DE CHEPEN")</f>
        <v>MUNICIPALIDAD PROVINCIAL DE CHEPEN</v>
      </c>
      <c r="D1209" s="25" t="str">
        <f ca="1">IFERROR(__xludf.DUMMYFUNCTION("""COMPUTED_VALUE"""),"LAMBAYEQUE")</f>
        <v>LAMBAYEQUE</v>
      </c>
      <c r="E1209" s="25" t="str">
        <f ca="1">IFERROR(__xludf.DUMMYFUNCTION("""COMPUTED_VALUE"""),"LA LIBERTAD")</f>
        <v>LA LIBERTAD</v>
      </c>
      <c r="F1209" s="25" t="str">
        <f ca="1">IFERROR(__xludf.DUMMYFUNCTION("""COMPUTED_VALUE"""),"CHEPEN")</f>
        <v>CHEPEN</v>
      </c>
      <c r="G1209" s="25" t="str">
        <f ca="1">IFERROR(__xludf.DUMMYFUNCTION("""COMPUTED_VALUE"""),"CHEPEN")</f>
        <v>CHEPEN</v>
      </c>
      <c r="H1209" s="25" t="str">
        <f ca="1">IFERROR(__xludf.DUMMYFUNCTION("""COMPUTED_VALUE"""),"URBANO")</f>
        <v>URBANO</v>
      </c>
      <c r="I1209" s="25" t="str">
        <f ca="1">IFERROR(__xludf.DUMMYFUNCTION("""COMPUTED_VALUE"""),"Prioridad 1")</f>
        <v>Prioridad 1</v>
      </c>
      <c r="J1209" s="43" t="s">
        <v>261</v>
      </c>
    </row>
    <row r="1210" spans="2:10">
      <c r="B1210" s="25" t="str">
        <f ca="1">IFERROR(__xludf.DUMMYFUNCTION("""COMPUTED_VALUE"""),"MUNICIPALIDAD DISTRITAL")</f>
        <v>MUNICIPALIDAD DISTRITAL</v>
      </c>
      <c r="C1210" s="25" t="str">
        <f ca="1">IFERROR(__xludf.DUMMYFUNCTION("""COMPUTED_VALUE"""),"MUNICIPALIDAD DISTRITAL DE PACANGA")</f>
        <v>MUNICIPALIDAD DISTRITAL DE PACANGA</v>
      </c>
      <c r="D1210" s="25" t="str">
        <f ca="1">IFERROR(__xludf.DUMMYFUNCTION("""COMPUTED_VALUE"""),"LAMBAYEQUE")</f>
        <v>LAMBAYEQUE</v>
      </c>
      <c r="E1210" s="25" t="str">
        <f ca="1">IFERROR(__xludf.DUMMYFUNCTION("""COMPUTED_VALUE"""),"LA LIBERTAD")</f>
        <v>LA LIBERTAD</v>
      </c>
      <c r="F1210" s="25" t="str">
        <f ca="1">IFERROR(__xludf.DUMMYFUNCTION("""COMPUTED_VALUE"""),"CHEPEN")</f>
        <v>CHEPEN</v>
      </c>
      <c r="G1210" s="25" t="str">
        <f ca="1">IFERROR(__xludf.DUMMYFUNCTION("""COMPUTED_VALUE"""),"PACANGA")</f>
        <v>PACANGA</v>
      </c>
      <c r="H1210" s="25" t="str">
        <f ca="1">IFERROR(__xludf.DUMMYFUNCTION("""COMPUTED_VALUE"""),"URBANO")</f>
        <v>URBANO</v>
      </c>
      <c r="I1210" s="25" t="str">
        <f ca="1">IFERROR(__xludf.DUMMYFUNCTION("""COMPUTED_VALUE"""),"Prioridad 2")</f>
        <v>Prioridad 2</v>
      </c>
      <c r="J1210" s="43" t="s">
        <v>261</v>
      </c>
    </row>
    <row r="1211" spans="2:10">
      <c r="B1211" s="25" t="str">
        <f ca="1">IFERROR(__xludf.DUMMYFUNCTION("""COMPUTED_VALUE"""),"MUNICIPALIDAD DISTRITAL")</f>
        <v>MUNICIPALIDAD DISTRITAL</v>
      </c>
      <c r="C1211" s="25" t="str">
        <f ca="1">IFERROR(__xludf.DUMMYFUNCTION("""COMPUTED_VALUE"""),"MUNICIPALIDAD DISTRITAL DE PUEBLO NUEVO EN CHEPEN")</f>
        <v>MUNICIPALIDAD DISTRITAL DE PUEBLO NUEVO EN CHEPEN</v>
      </c>
      <c r="D1211" s="25" t="str">
        <f ca="1">IFERROR(__xludf.DUMMYFUNCTION("""COMPUTED_VALUE"""),"LAMBAYEQUE")</f>
        <v>LAMBAYEQUE</v>
      </c>
      <c r="E1211" s="25" t="str">
        <f ca="1">IFERROR(__xludf.DUMMYFUNCTION("""COMPUTED_VALUE"""),"LA LIBERTAD")</f>
        <v>LA LIBERTAD</v>
      </c>
      <c r="F1211" s="25" t="str">
        <f ca="1">IFERROR(__xludf.DUMMYFUNCTION("""COMPUTED_VALUE"""),"CHEPEN")</f>
        <v>CHEPEN</v>
      </c>
      <c r="G1211" s="25" t="str">
        <f ca="1">IFERROR(__xludf.DUMMYFUNCTION("""COMPUTED_VALUE"""),"PUEBLO NUEVO")</f>
        <v>PUEBLO NUEVO</v>
      </c>
      <c r="H1211" s="25" t="str">
        <f ca="1">IFERROR(__xludf.DUMMYFUNCTION("""COMPUTED_VALUE"""),"URBANO")</f>
        <v>URBANO</v>
      </c>
      <c r="I1211" s="25" t="str">
        <f ca="1">IFERROR(__xludf.DUMMYFUNCTION("""COMPUTED_VALUE"""),"Prioridad 2")</f>
        <v>Prioridad 2</v>
      </c>
      <c r="J1211" s="43" t="s">
        <v>261</v>
      </c>
    </row>
    <row r="1212" spans="2:10">
      <c r="B1212" s="25" t="str">
        <f ca="1">IFERROR(__xludf.DUMMYFUNCTION("""COMPUTED_VALUE"""),"MUNICIPALIDAD PROVINCIAL")</f>
        <v>MUNICIPALIDAD PROVINCIAL</v>
      </c>
      <c r="C1212" s="25" t="str">
        <f ca="1">IFERROR(__xludf.DUMMYFUNCTION("""COMPUTED_VALUE"""),"MUNICIPALIDAD PROVINCIAL DE GRAN CHIMU")</f>
        <v>MUNICIPALIDAD PROVINCIAL DE GRAN CHIMU</v>
      </c>
      <c r="D1212" s="25" t="str">
        <f ca="1">IFERROR(__xludf.DUMMYFUNCTION("""COMPUTED_VALUE"""),"CAJAMARCA")</f>
        <v>CAJAMARCA</v>
      </c>
      <c r="E1212" s="25" t="str">
        <f ca="1">IFERROR(__xludf.DUMMYFUNCTION("""COMPUTED_VALUE"""),"LA LIBERTAD")</f>
        <v>LA LIBERTAD</v>
      </c>
      <c r="F1212" s="25" t="str">
        <f ca="1">IFERROR(__xludf.DUMMYFUNCTION("""COMPUTED_VALUE"""),"GRAN CHIMU")</f>
        <v>GRAN CHIMU</v>
      </c>
      <c r="G1212" s="25" t="str">
        <f ca="1">IFERROR(__xludf.DUMMYFUNCTION("""COMPUTED_VALUE"""),"CASCAS")</f>
        <v>CASCAS</v>
      </c>
      <c r="H1212" s="25" t="str">
        <f ca="1">IFERROR(__xludf.DUMMYFUNCTION("""COMPUTED_VALUE"""),"RURAL")</f>
        <v>RURAL</v>
      </c>
      <c r="I1212" s="25" t="str">
        <f ca="1">IFERROR(__xludf.DUMMYFUNCTION("""COMPUTED_VALUE"""),"Prioridad 2")</f>
        <v>Prioridad 2</v>
      </c>
      <c r="J1212" s="43" t="s">
        <v>261</v>
      </c>
    </row>
    <row r="1213" spans="2:10">
      <c r="B1213" s="25" t="str">
        <f ca="1">IFERROR(__xludf.DUMMYFUNCTION("""COMPUTED_VALUE"""),"MUNICIPALIDAD DISTRITAL")</f>
        <v>MUNICIPALIDAD DISTRITAL</v>
      </c>
      <c r="C1213" s="25" t="str">
        <f ca="1">IFERROR(__xludf.DUMMYFUNCTION("""COMPUTED_VALUE"""),"MUNICIPALIDAD DISTRITAL DE LUCMA EN GRAN CHIMU")</f>
        <v>MUNICIPALIDAD DISTRITAL DE LUCMA EN GRAN CHIMU</v>
      </c>
      <c r="D1213" s="25" t="str">
        <f ca="1">IFERROR(__xludf.DUMMYFUNCTION("""COMPUTED_VALUE"""),"CAJAMARCA")</f>
        <v>CAJAMARCA</v>
      </c>
      <c r="E1213" s="25" t="str">
        <f ca="1">IFERROR(__xludf.DUMMYFUNCTION("""COMPUTED_VALUE"""),"LA LIBERTAD")</f>
        <v>LA LIBERTAD</v>
      </c>
      <c r="F1213" s="25" t="str">
        <f ca="1">IFERROR(__xludf.DUMMYFUNCTION("""COMPUTED_VALUE"""),"GRAN CHIMU")</f>
        <v>GRAN CHIMU</v>
      </c>
      <c r="G1213" s="25" t="str">
        <f ca="1">IFERROR(__xludf.DUMMYFUNCTION("""COMPUTED_VALUE"""),"LUCMA")</f>
        <v>LUCMA</v>
      </c>
      <c r="H1213" s="25" t="str">
        <f ca="1">IFERROR(__xludf.DUMMYFUNCTION("""COMPUTED_VALUE"""),"RURAL")</f>
        <v>RURAL</v>
      </c>
      <c r="I1213" s="25" t="str">
        <f ca="1">IFERROR(__xludf.DUMMYFUNCTION("""COMPUTED_VALUE"""),"Prioridad 5")</f>
        <v>Prioridad 5</v>
      </c>
      <c r="J1213" s="43" t="s">
        <v>261</v>
      </c>
    </row>
    <row r="1214" spans="2:10">
      <c r="B1214" s="25" t="str">
        <f ca="1">IFERROR(__xludf.DUMMYFUNCTION("""COMPUTED_VALUE"""),"MUNICIPALIDAD DISTRITAL")</f>
        <v>MUNICIPALIDAD DISTRITAL</v>
      </c>
      <c r="C1214" s="25" t="str">
        <f ca="1">IFERROR(__xludf.DUMMYFUNCTION("""COMPUTED_VALUE"""),"MUNICIPALIDAD DISTRITAL DE MARMOT")</f>
        <v>MUNICIPALIDAD DISTRITAL DE MARMOT</v>
      </c>
      <c r="D1214" s="25" t="str">
        <f ca="1">IFERROR(__xludf.DUMMYFUNCTION("""COMPUTED_VALUE"""),"CAJAMARCA")</f>
        <v>CAJAMARCA</v>
      </c>
      <c r="E1214" s="25" t="str">
        <f ca="1">IFERROR(__xludf.DUMMYFUNCTION("""COMPUTED_VALUE"""),"LA LIBERTAD")</f>
        <v>LA LIBERTAD</v>
      </c>
      <c r="F1214" s="25" t="str">
        <f ca="1">IFERROR(__xludf.DUMMYFUNCTION("""COMPUTED_VALUE"""),"GRAN CHIMU")</f>
        <v>GRAN CHIMU</v>
      </c>
      <c r="G1214" s="25" t="str">
        <f ca="1">IFERROR(__xludf.DUMMYFUNCTION("""COMPUTED_VALUE"""),"MARMOT")</f>
        <v>MARMOT</v>
      </c>
      <c r="H1214" s="25" t="str">
        <f ca="1">IFERROR(__xludf.DUMMYFUNCTION("""COMPUTED_VALUE"""),"RURAL")</f>
        <v>RURAL</v>
      </c>
      <c r="I1214" s="25" t="str">
        <f ca="1">IFERROR(__xludf.DUMMYFUNCTION("""COMPUTED_VALUE"""),"Prioridad 5")</f>
        <v>Prioridad 5</v>
      </c>
      <c r="J1214" s="43" t="s">
        <v>261</v>
      </c>
    </row>
    <row r="1215" spans="2:10">
      <c r="B1215" s="25" t="str">
        <f ca="1">IFERROR(__xludf.DUMMYFUNCTION("""COMPUTED_VALUE"""),"MUNICIPALIDAD DISTRITAL")</f>
        <v>MUNICIPALIDAD DISTRITAL</v>
      </c>
      <c r="C1215" s="25" t="str">
        <f ca="1">IFERROR(__xludf.DUMMYFUNCTION("""COMPUTED_VALUE"""),"MUNICIPALIDAD DISTRITAL DE SAYAPULLO")</f>
        <v>MUNICIPALIDAD DISTRITAL DE SAYAPULLO</v>
      </c>
      <c r="D1215" s="25" t="str">
        <f ca="1">IFERROR(__xludf.DUMMYFUNCTION("""COMPUTED_VALUE"""),"CAJAMARCA")</f>
        <v>CAJAMARCA</v>
      </c>
      <c r="E1215" s="25" t="str">
        <f ca="1">IFERROR(__xludf.DUMMYFUNCTION("""COMPUTED_VALUE"""),"LA LIBERTAD")</f>
        <v>LA LIBERTAD</v>
      </c>
      <c r="F1215" s="25" t="str">
        <f ca="1">IFERROR(__xludf.DUMMYFUNCTION("""COMPUTED_VALUE"""),"GRAN CHIMU")</f>
        <v>GRAN CHIMU</v>
      </c>
      <c r="G1215" s="25" t="str">
        <f ca="1">IFERROR(__xludf.DUMMYFUNCTION("""COMPUTED_VALUE"""),"SAYAPULLO")</f>
        <v>SAYAPULLO</v>
      </c>
      <c r="H1215" s="25" t="str">
        <f ca="1">IFERROR(__xludf.DUMMYFUNCTION("""COMPUTED_VALUE"""),"RURAL")</f>
        <v>RURAL</v>
      </c>
      <c r="I1215" s="25" t="str">
        <f ca="1">IFERROR(__xludf.DUMMYFUNCTION("""COMPUTED_VALUE"""),"Prioridad 5")</f>
        <v>Prioridad 5</v>
      </c>
      <c r="J1215" s="43" t="s">
        <v>261</v>
      </c>
    </row>
    <row r="1216" spans="2:10">
      <c r="B1216" s="25" t="str">
        <f ca="1">IFERROR(__xludf.DUMMYFUNCTION("""COMPUTED_VALUE"""),"MUNICIPALIDAD PROVINCIAL")</f>
        <v>MUNICIPALIDAD PROVINCIAL</v>
      </c>
      <c r="C1216" s="25" t="str">
        <f ca="1">IFERROR(__xludf.DUMMYFUNCTION("""COMPUTED_VALUE"""),"MUNICIPALIDAD PROVINCIAL DE JULCAN")</f>
        <v>MUNICIPALIDAD PROVINCIAL DE JULCAN</v>
      </c>
      <c r="D1216" s="25" t="str">
        <f ca="1">IFERROR(__xludf.DUMMYFUNCTION("""COMPUTED_VALUE"""),"LA LIBERTAD")</f>
        <v>LA LIBERTAD</v>
      </c>
      <c r="E1216" s="25" t="str">
        <f ca="1">IFERROR(__xludf.DUMMYFUNCTION("""COMPUTED_VALUE"""),"LA LIBERTAD")</f>
        <v>LA LIBERTAD</v>
      </c>
      <c r="F1216" s="25" t="str">
        <f ca="1">IFERROR(__xludf.DUMMYFUNCTION("""COMPUTED_VALUE"""),"JULCAN")</f>
        <v>JULCAN</v>
      </c>
      <c r="G1216" s="25" t="str">
        <f ca="1">IFERROR(__xludf.DUMMYFUNCTION("""COMPUTED_VALUE"""),"JULCAN")</f>
        <v>JULCAN</v>
      </c>
      <c r="H1216" s="25" t="str">
        <f ca="1">IFERROR(__xludf.DUMMYFUNCTION("""COMPUTED_VALUE"""),"RURAL")</f>
        <v>RURAL</v>
      </c>
      <c r="I1216" s="25" t="str">
        <f ca="1">IFERROR(__xludf.DUMMYFUNCTION("""COMPUTED_VALUE"""),"Prioridad 2")</f>
        <v>Prioridad 2</v>
      </c>
      <c r="J1216" s="43" t="s">
        <v>261</v>
      </c>
    </row>
    <row r="1217" spans="2:10">
      <c r="B1217" s="25" t="str">
        <f ca="1">IFERROR(__xludf.DUMMYFUNCTION("""COMPUTED_VALUE"""),"MUNICIPALIDAD DISTRITAL")</f>
        <v>MUNICIPALIDAD DISTRITAL</v>
      </c>
      <c r="C1217" s="25" t="str">
        <f ca="1">IFERROR(__xludf.DUMMYFUNCTION("""COMPUTED_VALUE"""),"MUNICIPALIDAD DISTRITAL DE CALAMARCA")</f>
        <v>MUNICIPALIDAD DISTRITAL DE CALAMARCA</v>
      </c>
      <c r="D1217" s="25" t="str">
        <f ca="1">IFERROR(__xludf.DUMMYFUNCTION("""COMPUTED_VALUE"""),"LA LIBERTAD")</f>
        <v>LA LIBERTAD</v>
      </c>
      <c r="E1217" s="25" t="str">
        <f ca="1">IFERROR(__xludf.DUMMYFUNCTION("""COMPUTED_VALUE"""),"LA LIBERTAD")</f>
        <v>LA LIBERTAD</v>
      </c>
      <c r="F1217" s="25" t="str">
        <f ca="1">IFERROR(__xludf.DUMMYFUNCTION("""COMPUTED_VALUE"""),"JULCAN")</f>
        <v>JULCAN</v>
      </c>
      <c r="G1217" s="25" t="str">
        <f ca="1">IFERROR(__xludf.DUMMYFUNCTION("""COMPUTED_VALUE"""),"CALAMARCA")</f>
        <v>CALAMARCA</v>
      </c>
      <c r="H1217" s="25" t="str">
        <f ca="1">IFERROR(__xludf.DUMMYFUNCTION("""COMPUTED_VALUE"""),"RURAL")</f>
        <v>RURAL</v>
      </c>
      <c r="I1217" s="25" t="str">
        <f ca="1">IFERROR(__xludf.DUMMYFUNCTION("""COMPUTED_VALUE"""),"Prioridad 4")</f>
        <v>Prioridad 4</v>
      </c>
      <c r="J1217" s="43" t="s">
        <v>261</v>
      </c>
    </row>
    <row r="1218" spans="2:10">
      <c r="B1218" s="25" t="str">
        <f ca="1">IFERROR(__xludf.DUMMYFUNCTION("""COMPUTED_VALUE"""),"MUNICIPALIDAD DISTRITAL")</f>
        <v>MUNICIPALIDAD DISTRITAL</v>
      </c>
      <c r="C1218" s="25" t="str">
        <f ca="1">IFERROR(__xludf.DUMMYFUNCTION("""COMPUTED_VALUE"""),"MUNICIPALIDAD DISTRITAL DE CARABAMBA")</f>
        <v>MUNICIPALIDAD DISTRITAL DE CARABAMBA</v>
      </c>
      <c r="D1218" s="25" t="str">
        <f ca="1">IFERROR(__xludf.DUMMYFUNCTION("""COMPUTED_VALUE"""),"LA LIBERTAD")</f>
        <v>LA LIBERTAD</v>
      </c>
      <c r="E1218" s="25" t="str">
        <f ca="1">IFERROR(__xludf.DUMMYFUNCTION("""COMPUTED_VALUE"""),"LA LIBERTAD")</f>
        <v>LA LIBERTAD</v>
      </c>
      <c r="F1218" s="25" t="str">
        <f ca="1">IFERROR(__xludf.DUMMYFUNCTION("""COMPUTED_VALUE"""),"JULCAN")</f>
        <v>JULCAN</v>
      </c>
      <c r="G1218" s="25" t="str">
        <f ca="1">IFERROR(__xludf.DUMMYFUNCTION("""COMPUTED_VALUE"""),"CARABAMBA")</f>
        <v>CARABAMBA</v>
      </c>
      <c r="H1218" s="25" t="str">
        <f ca="1">IFERROR(__xludf.DUMMYFUNCTION("""COMPUTED_VALUE"""),"RURAL")</f>
        <v>RURAL</v>
      </c>
      <c r="I1218" s="25" t="str">
        <f ca="1">IFERROR(__xludf.DUMMYFUNCTION("""COMPUTED_VALUE"""),"Prioridad 5")</f>
        <v>Prioridad 5</v>
      </c>
      <c r="J1218" s="43" t="s">
        <v>261</v>
      </c>
    </row>
    <row r="1219" spans="2:10">
      <c r="B1219" s="25" t="str">
        <f ca="1">IFERROR(__xludf.DUMMYFUNCTION("""COMPUTED_VALUE"""),"MUNICIPALIDAD DISTRITAL")</f>
        <v>MUNICIPALIDAD DISTRITAL</v>
      </c>
      <c r="C1219" s="25" t="str">
        <f ca="1">IFERROR(__xludf.DUMMYFUNCTION("""COMPUTED_VALUE"""),"MUNICIPALIDAD DISTRITAL DE HUASO")</f>
        <v>MUNICIPALIDAD DISTRITAL DE HUASO</v>
      </c>
      <c r="D1219" s="25" t="str">
        <f ca="1">IFERROR(__xludf.DUMMYFUNCTION("""COMPUTED_VALUE"""),"LA LIBERTAD")</f>
        <v>LA LIBERTAD</v>
      </c>
      <c r="E1219" s="25" t="str">
        <f ca="1">IFERROR(__xludf.DUMMYFUNCTION("""COMPUTED_VALUE"""),"LA LIBERTAD")</f>
        <v>LA LIBERTAD</v>
      </c>
      <c r="F1219" s="25" t="str">
        <f ca="1">IFERROR(__xludf.DUMMYFUNCTION("""COMPUTED_VALUE"""),"JULCAN")</f>
        <v>JULCAN</v>
      </c>
      <c r="G1219" s="25" t="str">
        <f ca="1">IFERROR(__xludf.DUMMYFUNCTION("""COMPUTED_VALUE"""),"HUASO")</f>
        <v>HUASO</v>
      </c>
      <c r="H1219" s="25" t="str">
        <f ca="1">IFERROR(__xludf.DUMMYFUNCTION("""COMPUTED_VALUE"""),"RURAL")</f>
        <v>RURAL</v>
      </c>
      <c r="I1219" s="25" t="str">
        <f ca="1">IFERROR(__xludf.DUMMYFUNCTION("""COMPUTED_VALUE"""),"Prioridad 5")</f>
        <v>Prioridad 5</v>
      </c>
      <c r="J1219" s="43" t="s">
        <v>261</v>
      </c>
    </row>
    <row r="1220" spans="2:10">
      <c r="B1220" s="25" t="str">
        <f ca="1">IFERROR(__xludf.DUMMYFUNCTION("""COMPUTED_VALUE"""),"MUNICIPALIDAD PROVINCIAL")</f>
        <v>MUNICIPALIDAD PROVINCIAL</v>
      </c>
      <c r="C1220" s="25" t="str">
        <f ca="1">IFERROR(__xludf.DUMMYFUNCTION("""COMPUTED_VALUE"""),"MUNICIPALIDAD PROVINCIAL DE OTUZCO")</f>
        <v>MUNICIPALIDAD PROVINCIAL DE OTUZCO</v>
      </c>
      <c r="D1220" s="25" t="str">
        <f ca="1">IFERROR(__xludf.DUMMYFUNCTION("""COMPUTED_VALUE"""),"LA LIBERTAD")</f>
        <v>LA LIBERTAD</v>
      </c>
      <c r="E1220" s="25" t="str">
        <f ca="1">IFERROR(__xludf.DUMMYFUNCTION("""COMPUTED_VALUE"""),"LA LIBERTAD")</f>
        <v>LA LIBERTAD</v>
      </c>
      <c r="F1220" s="25" t="str">
        <f ca="1">IFERROR(__xludf.DUMMYFUNCTION("""COMPUTED_VALUE"""),"OTUZCO")</f>
        <v>OTUZCO</v>
      </c>
      <c r="G1220" s="25" t="str">
        <f ca="1">IFERROR(__xludf.DUMMYFUNCTION("""COMPUTED_VALUE"""),"OTUZCO")</f>
        <v>OTUZCO</v>
      </c>
      <c r="H1220" s="25" t="str">
        <f ca="1">IFERROR(__xludf.DUMMYFUNCTION("""COMPUTED_VALUE"""),"URBANO")</f>
        <v>URBANO</v>
      </c>
      <c r="I1220" s="25" t="str">
        <f ca="1">IFERROR(__xludf.DUMMYFUNCTION("""COMPUTED_VALUE"""),"Prioridad 2")</f>
        <v>Prioridad 2</v>
      </c>
      <c r="J1220" s="43" t="s">
        <v>261</v>
      </c>
    </row>
    <row r="1221" spans="2:10">
      <c r="B1221" s="25" t="str">
        <f ca="1">IFERROR(__xludf.DUMMYFUNCTION("""COMPUTED_VALUE"""),"MUNICIPALIDAD DISTRITAL")</f>
        <v>MUNICIPALIDAD DISTRITAL</v>
      </c>
      <c r="C1221" s="25" t="str">
        <f ca="1">IFERROR(__xludf.DUMMYFUNCTION("""COMPUTED_VALUE"""),"MUNICIPALIDAD DISTRITAL DE AGALLPAMPA")</f>
        <v>MUNICIPALIDAD DISTRITAL DE AGALLPAMPA</v>
      </c>
      <c r="D1221" s="25" t="str">
        <f ca="1">IFERROR(__xludf.DUMMYFUNCTION("""COMPUTED_VALUE"""),"LA LIBERTAD")</f>
        <v>LA LIBERTAD</v>
      </c>
      <c r="E1221" s="25" t="str">
        <f ca="1">IFERROR(__xludf.DUMMYFUNCTION("""COMPUTED_VALUE"""),"LA LIBERTAD")</f>
        <v>LA LIBERTAD</v>
      </c>
      <c r="F1221" s="25" t="str">
        <f ca="1">IFERROR(__xludf.DUMMYFUNCTION("""COMPUTED_VALUE"""),"OTUZCO")</f>
        <v>OTUZCO</v>
      </c>
      <c r="G1221" s="25" t="str">
        <f ca="1">IFERROR(__xludf.DUMMYFUNCTION("""COMPUTED_VALUE"""),"AGALLPAMPA")</f>
        <v>AGALLPAMPA</v>
      </c>
      <c r="H1221" s="25" t="str">
        <f ca="1">IFERROR(__xludf.DUMMYFUNCTION("""COMPUTED_VALUE"""),"RURAL")</f>
        <v>RURAL</v>
      </c>
      <c r="I1221" s="25" t="str">
        <f ca="1">IFERROR(__xludf.DUMMYFUNCTION("""COMPUTED_VALUE"""),"Prioridad 5")</f>
        <v>Prioridad 5</v>
      </c>
      <c r="J1221" s="43" t="s">
        <v>261</v>
      </c>
    </row>
    <row r="1222" spans="2:10">
      <c r="B1222" s="25" t="str">
        <f ca="1">IFERROR(__xludf.DUMMYFUNCTION("""COMPUTED_VALUE"""),"MUNICIPALIDAD DISTRITAL")</f>
        <v>MUNICIPALIDAD DISTRITAL</v>
      </c>
      <c r="C1222" s="25" t="str">
        <f ca="1">IFERROR(__xludf.DUMMYFUNCTION("""COMPUTED_VALUE"""),"MUNICIPALIDAD DISTRITAL DE CHARAT")</f>
        <v>MUNICIPALIDAD DISTRITAL DE CHARAT</v>
      </c>
      <c r="D1222" s="25" t="str">
        <f ca="1">IFERROR(__xludf.DUMMYFUNCTION("""COMPUTED_VALUE"""),"LA LIBERTAD")</f>
        <v>LA LIBERTAD</v>
      </c>
      <c r="E1222" s="25" t="str">
        <f ca="1">IFERROR(__xludf.DUMMYFUNCTION("""COMPUTED_VALUE"""),"LA LIBERTAD")</f>
        <v>LA LIBERTAD</v>
      </c>
      <c r="F1222" s="25" t="str">
        <f ca="1">IFERROR(__xludf.DUMMYFUNCTION("""COMPUTED_VALUE"""),"OTUZCO")</f>
        <v>OTUZCO</v>
      </c>
      <c r="G1222" s="25" t="str">
        <f ca="1">IFERROR(__xludf.DUMMYFUNCTION("""COMPUTED_VALUE"""),"CHARAT")</f>
        <v>CHARAT</v>
      </c>
      <c r="H1222" s="25" t="str">
        <f ca="1">IFERROR(__xludf.DUMMYFUNCTION("""COMPUTED_VALUE"""),"RURAL")</f>
        <v>RURAL</v>
      </c>
      <c r="I1222" s="25" t="str">
        <f ca="1">IFERROR(__xludf.DUMMYFUNCTION("""COMPUTED_VALUE"""),"Prioridad 5")</f>
        <v>Prioridad 5</v>
      </c>
      <c r="J1222" s="43" t="s">
        <v>261</v>
      </c>
    </row>
    <row r="1223" spans="2:10">
      <c r="B1223" s="25" t="str">
        <f ca="1">IFERROR(__xludf.DUMMYFUNCTION("""COMPUTED_VALUE"""),"MUNICIPALIDAD DISTRITAL")</f>
        <v>MUNICIPALIDAD DISTRITAL</v>
      </c>
      <c r="C1223" s="25" t="str">
        <f ca="1">IFERROR(__xludf.DUMMYFUNCTION("""COMPUTED_VALUE"""),"MUNICIPALIDAD DISTRITAL DE HUARANCHAL")</f>
        <v>MUNICIPALIDAD DISTRITAL DE HUARANCHAL</v>
      </c>
      <c r="D1223" s="25" t="str">
        <f ca="1">IFERROR(__xludf.DUMMYFUNCTION("""COMPUTED_VALUE"""),"LA LIBERTAD")</f>
        <v>LA LIBERTAD</v>
      </c>
      <c r="E1223" s="25" t="str">
        <f ca="1">IFERROR(__xludf.DUMMYFUNCTION("""COMPUTED_VALUE"""),"LA LIBERTAD")</f>
        <v>LA LIBERTAD</v>
      </c>
      <c r="F1223" s="25" t="str">
        <f ca="1">IFERROR(__xludf.DUMMYFUNCTION("""COMPUTED_VALUE"""),"OTUZCO")</f>
        <v>OTUZCO</v>
      </c>
      <c r="G1223" s="25" t="str">
        <f ca="1">IFERROR(__xludf.DUMMYFUNCTION("""COMPUTED_VALUE"""),"HUARANCHAL")</f>
        <v>HUARANCHAL</v>
      </c>
      <c r="H1223" s="25" t="str">
        <f ca="1">IFERROR(__xludf.DUMMYFUNCTION("""COMPUTED_VALUE"""),"RURAL")</f>
        <v>RURAL</v>
      </c>
      <c r="I1223" s="25" t="str">
        <f ca="1">IFERROR(__xludf.DUMMYFUNCTION("""COMPUTED_VALUE"""),"Prioridad 3")</f>
        <v>Prioridad 3</v>
      </c>
      <c r="J1223" s="43" t="s">
        <v>261</v>
      </c>
    </row>
    <row r="1224" spans="2:10">
      <c r="B1224" s="25" t="str">
        <f ca="1">IFERROR(__xludf.DUMMYFUNCTION("""COMPUTED_VALUE"""),"MUNICIPALIDAD DISTRITAL")</f>
        <v>MUNICIPALIDAD DISTRITAL</v>
      </c>
      <c r="C1224" s="25" t="str">
        <f ca="1">IFERROR(__xludf.DUMMYFUNCTION("""COMPUTED_VALUE"""),"MUNICIPALIDAD DISTRITAL DE LA CUESTA")</f>
        <v>MUNICIPALIDAD DISTRITAL DE LA CUESTA</v>
      </c>
      <c r="D1224" s="25" t="str">
        <f ca="1">IFERROR(__xludf.DUMMYFUNCTION("""COMPUTED_VALUE"""),"LA LIBERTAD")</f>
        <v>LA LIBERTAD</v>
      </c>
      <c r="E1224" s="25" t="str">
        <f ca="1">IFERROR(__xludf.DUMMYFUNCTION("""COMPUTED_VALUE"""),"LA LIBERTAD")</f>
        <v>LA LIBERTAD</v>
      </c>
      <c r="F1224" s="25" t="str">
        <f ca="1">IFERROR(__xludf.DUMMYFUNCTION("""COMPUTED_VALUE"""),"OTUZCO")</f>
        <v>OTUZCO</v>
      </c>
      <c r="G1224" s="25" t="str">
        <f ca="1">IFERROR(__xludf.DUMMYFUNCTION("""COMPUTED_VALUE"""),"LA CUESTA")</f>
        <v>LA CUESTA</v>
      </c>
      <c r="H1224" s="25" t="str">
        <f ca="1">IFERROR(__xludf.DUMMYFUNCTION("""COMPUTED_VALUE"""),"RURAL")</f>
        <v>RURAL</v>
      </c>
      <c r="I1224" s="25" t="str">
        <f ca="1">IFERROR(__xludf.DUMMYFUNCTION("""COMPUTED_VALUE"""),"Prioridad 4")</f>
        <v>Prioridad 4</v>
      </c>
      <c r="J1224" s="43" t="s">
        <v>261</v>
      </c>
    </row>
    <row r="1225" spans="2:10">
      <c r="B1225" s="25" t="str">
        <f ca="1">IFERROR(__xludf.DUMMYFUNCTION("""COMPUTED_VALUE"""),"MUNICIPALIDAD DISTRITAL")</f>
        <v>MUNICIPALIDAD DISTRITAL</v>
      </c>
      <c r="C1225" s="25" t="str">
        <f ca="1">IFERROR(__xludf.DUMMYFUNCTION("""COMPUTED_VALUE"""),"MUNICIPALIDAD DISTRITAL DE MACHE")</f>
        <v>MUNICIPALIDAD DISTRITAL DE MACHE</v>
      </c>
      <c r="D1225" s="25" t="str">
        <f ca="1">IFERROR(__xludf.DUMMYFUNCTION("""COMPUTED_VALUE"""),"LA LIBERTAD")</f>
        <v>LA LIBERTAD</v>
      </c>
      <c r="E1225" s="25" t="str">
        <f ca="1">IFERROR(__xludf.DUMMYFUNCTION("""COMPUTED_VALUE"""),"LA LIBERTAD")</f>
        <v>LA LIBERTAD</v>
      </c>
      <c r="F1225" s="25" t="str">
        <f ca="1">IFERROR(__xludf.DUMMYFUNCTION("""COMPUTED_VALUE"""),"OTUZCO")</f>
        <v>OTUZCO</v>
      </c>
      <c r="G1225" s="25" t="str">
        <f ca="1">IFERROR(__xludf.DUMMYFUNCTION("""COMPUTED_VALUE"""),"MACHE")</f>
        <v>MACHE</v>
      </c>
      <c r="H1225" s="25" t="str">
        <f ca="1">IFERROR(__xludf.DUMMYFUNCTION("""COMPUTED_VALUE"""),"RURAL")</f>
        <v>RURAL</v>
      </c>
      <c r="I1225" s="25" t="str">
        <f ca="1">IFERROR(__xludf.DUMMYFUNCTION("""COMPUTED_VALUE"""),"Prioridad 3")</f>
        <v>Prioridad 3</v>
      </c>
      <c r="J1225" s="43" t="s">
        <v>261</v>
      </c>
    </row>
    <row r="1226" spans="2:10">
      <c r="B1226" s="25" t="str">
        <f ca="1">IFERROR(__xludf.DUMMYFUNCTION("""COMPUTED_VALUE"""),"MUNICIPALIDAD DISTRITAL")</f>
        <v>MUNICIPALIDAD DISTRITAL</v>
      </c>
      <c r="C1226" s="25" t="str">
        <f ca="1">IFERROR(__xludf.DUMMYFUNCTION("""COMPUTED_VALUE"""),"MUNICIPALIDAD DISTRITAL DE PARANDAY")</f>
        <v>MUNICIPALIDAD DISTRITAL DE PARANDAY</v>
      </c>
      <c r="D1226" s="25" t="str">
        <f ca="1">IFERROR(__xludf.DUMMYFUNCTION("""COMPUTED_VALUE"""),"LA LIBERTAD")</f>
        <v>LA LIBERTAD</v>
      </c>
      <c r="E1226" s="25" t="str">
        <f ca="1">IFERROR(__xludf.DUMMYFUNCTION("""COMPUTED_VALUE"""),"LA LIBERTAD")</f>
        <v>LA LIBERTAD</v>
      </c>
      <c r="F1226" s="25" t="str">
        <f ca="1">IFERROR(__xludf.DUMMYFUNCTION("""COMPUTED_VALUE"""),"OTUZCO")</f>
        <v>OTUZCO</v>
      </c>
      <c r="G1226" s="25" t="str">
        <f ca="1">IFERROR(__xludf.DUMMYFUNCTION("""COMPUTED_VALUE"""),"PARANDAY")</f>
        <v>PARANDAY</v>
      </c>
      <c r="H1226" s="25" t="str">
        <f ca="1">IFERROR(__xludf.DUMMYFUNCTION("""COMPUTED_VALUE"""),"RURAL")</f>
        <v>RURAL</v>
      </c>
      <c r="I1226" s="25" t="str">
        <f ca="1">IFERROR(__xludf.DUMMYFUNCTION("""COMPUTED_VALUE"""),"Prioridad 4")</f>
        <v>Prioridad 4</v>
      </c>
      <c r="J1226" s="43" t="s">
        <v>261</v>
      </c>
    </row>
    <row r="1227" spans="2:10">
      <c r="B1227" s="25" t="str">
        <f ca="1">IFERROR(__xludf.DUMMYFUNCTION("""COMPUTED_VALUE"""),"MUNICIPALIDAD DISTRITAL")</f>
        <v>MUNICIPALIDAD DISTRITAL</v>
      </c>
      <c r="C1227" s="25" t="str">
        <f ca="1">IFERROR(__xludf.DUMMYFUNCTION("""COMPUTED_VALUE"""),"MUNICIPALIDAD DISTRITAL DE SALPO")</f>
        <v>MUNICIPALIDAD DISTRITAL DE SALPO</v>
      </c>
      <c r="D1227" s="25" t="str">
        <f ca="1">IFERROR(__xludf.DUMMYFUNCTION("""COMPUTED_VALUE"""),"LA LIBERTAD")</f>
        <v>LA LIBERTAD</v>
      </c>
      <c r="E1227" s="25" t="str">
        <f ca="1">IFERROR(__xludf.DUMMYFUNCTION("""COMPUTED_VALUE"""),"LA LIBERTAD")</f>
        <v>LA LIBERTAD</v>
      </c>
      <c r="F1227" s="25" t="str">
        <f ca="1">IFERROR(__xludf.DUMMYFUNCTION("""COMPUTED_VALUE"""),"OTUZCO")</f>
        <v>OTUZCO</v>
      </c>
      <c r="G1227" s="25" t="str">
        <f ca="1">IFERROR(__xludf.DUMMYFUNCTION("""COMPUTED_VALUE"""),"SALPO")</f>
        <v>SALPO</v>
      </c>
      <c r="H1227" s="25" t="str">
        <f ca="1">IFERROR(__xludf.DUMMYFUNCTION("""COMPUTED_VALUE"""),"RURAL")</f>
        <v>RURAL</v>
      </c>
      <c r="I1227" s="25" t="str">
        <f ca="1">IFERROR(__xludf.DUMMYFUNCTION("""COMPUTED_VALUE"""),"Prioridad 4")</f>
        <v>Prioridad 4</v>
      </c>
      <c r="J1227" s="43" t="s">
        <v>261</v>
      </c>
    </row>
    <row r="1228" spans="2:10">
      <c r="B1228" s="25" t="str">
        <f ca="1">IFERROR(__xludf.DUMMYFUNCTION("""COMPUTED_VALUE"""),"MUNICIPALIDAD DISTRITAL")</f>
        <v>MUNICIPALIDAD DISTRITAL</v>
      </c>
      <c r="C1228" s="25" t="str">
        <f ca="1">IFERROR(__xludf.DUMMYFUNCTION("""COMPUTED_VALUE"""),"MUNICIPALIDAD DISTRITAL DE SINSICAP")</f>
        <v>MUNICIPALIDAD DISTRITAL DE SINSICAP</v>
      </c>
      <c r="D1228" s="25" t="str">
        <f ca="1">IFERROR(__xludf.DUMMYFUNCTION("""COMPUTED_VALUE"""),"LA LIBERTAD")</f>
        <v>LA LIBERTAD</v>
      </c>
      <c r="E1228" s="25" t="str">
        <f ca="1">IFERROR(__xludf.DUMMYFUNCTION("""COMPUTED_VALUE"""),"LA LIBERTAD")</f>
        <v>LA LIBERTAD</v>
      </c>
      <c r="F1228" s="25" t="str">
        <f ca="1">IFERROR(__xludf.DUMMYFUNCTION("""COMPUTED_VALUE"""),"OTUZCO")</f>
        <v>OTUZCO</v>
      </c>
      <c r="G1228" s="25" t="str">
        <f ca="1">IFERROR(__xludf.DUMMYFUNCTION("""COMPUTED_VALUE"""),"SINSICAP")</f>
        <v>SINSICAP</v>
      </c>
      <c r="H1228" s="25" t="str">
        <f ca="1">IFERROR(__xludf.DUMMYFUNCTION("""COMPUTED_VALUE"""),"RURAL")</f>
        <v>RURAL</v>
      </c>
      <c r="I1228" s="25" t="str">
        <f ca="1">IFERROR(__xludf.DUMMYFUNCTION("""COMPUTED_VALUE"""),"Prioridad 4")</f>
        <v>Prioridad 4</v>
      </c>
      <c r="J1228" s="43" t="s">
        <v>261</v>
      </c>
    </row>
    <row r="1229" spans="2:10">
      <c r="B1229" s="25" t="str">
        <f ca="1">IFERROR(__xludf.DUMMYFUNCTION("""COMPUTED_VALUE"""),"MUNICIPALIDAD DISTRITAL")</f>
        <v>MUNICIPALIDAD DISTRITAL</v>
      </c>
      <c r="C1229" s="25" t="str">
        <f ca="1">IFERROR(__xludf.DUMMYFUNCTION("""COMPUTED_VALUE"""),"MUNICIPALIDAD DISTRITAL DE USQUIL")</f>
        <v>MUNICIPALIDAD DISTRITAL DE USQUIL</v>
      </c>
      <c r="D1229" s="25" t="str">
        <f ca="1">IFERROR(__xludf.DUMMYFUNCTION("""COMPUTED_VALUE"""),"LA LIBERTAD")</f>
        <v>LA LIBERTAD</v>
      </c>
      <c r="E1229" s="25" t="str">
        <f ca="1">IFERROR(__xludf.DUMMYFUNCTION("""COMPUTED_VALUE"""),"LA LIBERTAD")</f>
        <v>LA LIBERTAD</v>
      </c>
      <c r="F1229" s="25" t="str">
        <f ca="1">IFERROR(__xludf.DUMMYFUNCTION("""COMPUTED_VALUE"""),"OTUZCO")</f>
        <v>OTUZCO</v>
      </c>
      <c r="G1229" s="25" t="str">
        <f ca="1">IFERROR(__xludf.DUMMYFUNCTION("""COMPUTED_VALUE"""),"USQUIL")</f>
        <v>USQUIL</v>
      </c>
      <c r="H1229" s="25" t="str">
        <f ca="1">IFERROR(__xludf.DUMMYFUNCTION("""COMPUTED_VALUE"""),"RURAL")</f>
        <v>RURAL</v>
      </c>
      <c r="I1229" s="25" t="str">
        <f ca="1">IFERROR(__xludf.DUMMYFUNCTION("""COMPUTED_VALUE"""),"Prioridad 4")</f>
        <v>Prioridad 4</v>
      </c>
      <c r="J1229" s="43" t="s">
        <v>261</v>
      </c>
    </row>
    <row r="1230" spans="2:10">
      <c r="B1230" s="25" t="str">
        <f ca="1">IFERROR(__xludf.DUMMYFUNCTION("""COMPUTED_VALUE"""),"MUNICIPALIDAD PROVINCIAL")</f>
        <v>MUNICIPALIDAD PROVINCIAL</v>
      </c>
      <c r="C1230" s="25" t="str">
        <f ca="1">IFERROR(__xludf.DUMMYFUNCTION("""COMPUTED_VALUE"""),"MUNICIPALIDAD PROVINCIAL DE PACASMAYO")</f>
        <v>MUNICIPALIDAD PROVINCIAL DE PACASMAYO</v>
      </c>
      <c r="D1230" s="25" t="str">
        <f ca="1">IFERROR(__xludf.DUMMYFUNCTION("""COMPUTED_VALUE"""),"LAMBAYEQUE")</f>
        <v>LAMBAYEQUE</v>
      </c>
      <c r="E1230" s="25" t="str">
        <f ca="1">IFERROR(__xludf.DUMMYFUNCTION("""COMPUTED_VALUE"""),"LA LIBERTAD")</f>
        <v>LA LIBERTAD</v>
      </c>
      <c r="F1230" s="25" t="str">
        <f ca="1">IFERROR(__xludf.DUMMYFUNCTION("""COMPUTED_VALUE"""),"PACASMAYO")</f>
        <v>PACASMAYO</v>
      </c>
      <c r="G1230" s="25" t="str">
        <f ca="1">IFERROR(__xludf.DUMMYFUNCTION("""COMPUTED_VALUE"""),"SAN PEDRO DE LLOC")</f>
        <v>SAN PEDRO DE LLOC</v>
      </c>
      <c r="H1230" s="25" t="str">
        <f ca="1">IFERROR(__xludf.DUMMYFUNCTION("""COMPUTED_VALUE"""),"URBANO")</f>
        <v>URBANO</v>
      </c>
      <c r="I1230" s="25" t="str">
        <f ca="1">IFERROR(__xludf.DUMMYFUNCTION("""COMPUTED_VALUE"""),"Prioridad 1")</f>
        <v>Prioridad 1</v>
      </c>
      <c r="J1230" s="43" t="s">
        <v>261</v>
      </c>
    </row>
    <row r="1231" spans="2:10">
      <c r="B1231" s="25" t="str">
        <f ca="1">IFERROR(__xludf.DUMMYFUNCTION("""COMPUTED_VALUE"""),"MUNICIPALIDAD DISTRITAL")</f>
        <v>MUNICIPALIDAD DISTRITAL</v>
      </c>
      <c r="C1231" s="25" t="str">
        <f ca="1">IFERROR(__xludf.DUMMYFUNCTION("""COMPUTED_VALUE"""),"MUNICIPALIDAD DISTRITAL DE GUADALUPE")</f>
        <v>MUNICIPALIDAD DISTRITAL DE GUADALUPE</v>
      </c>
      <c r="D1231" s="25" t="str">
        <f ca="1">IFERROR(__xludf.DUMMYFUNCTION("""COMPUTED_VALUE"""),"LAMBAYEQUE")</f>
        <v>LAMBAYEQUE</v>
      </c>
      <c r="E1231" s="25" t="str">
        <f ca="1">IFERROR(__xludf.DUMMYFUNCTION("""COMPUTED_VALUE"""),"LA LIBERTAD")</f>
        <v>LA LIBERTAD</v>
      </c>
      <c r="F1231" s="25" t="str">
        <f ca="1">IFERROR(__xludf.DUMMYFUNCTION("""COMPUTED_VALUE"""),"PACASMAYO")</f>
        <v>PACASMAYO</v>
      </c>
      <c r="G1231" s="25" t="str">
        <f ca="1">IFERROR(__xludf.DUMMYFUNCTION("""COMPUTED_VALUE"""),"GUADALUPE")</f>
        <v>GUADALUPE</v>
      </c>
      <c r="H1231" s="25" t="str">
        <f ca="1">IFERROR(__xludf.DUMMYFUNCTION("""COMPUTED_VALUE"""),"URBANO")</f>
        <v>URBANO</v>
      </c>
      <c r="I1231" s="25" t="str">
        <f ca="1">IFERROR(__xludf.DUMMYFUNCTION("""COMPUTED_VALUE"""),"Prioridad 3")</f>
        <v>Prioridad 3</v>
      </c>
      <c r="J1231" s="43" t="s">
        <v>261</v>
      </c>
    </row>
    <row r="1232" spans="2:10">
      <c r="B1232" s="25" t="str">
        <f ca="1">IFERROR(__xludf.DUMMYFUNCTION("""COMPUTED_VALUE"""),"MUNICIPALIDAD DISTRITAL")</f>
        <v>MUNICIPALIDAD DISTRITAL</v>
      </c>
      <c r="C1232" s="25" t="str">
        <f ca="1">IFERROR(__xludf.DUMMYFUNCTION("""COMPUTED_VALUE"""),"MUNICIPALIDAD DISTRITAL DE PACASMAYO")</f>
        <v>MUNICIPALIDAD DISTRITAL DE PACASMAYO</v>
      </c>
      <c r="D1232" s="25" t="str">
        <f ca="1">IFERROR(__xludf.DUMMYFUNCTION("""COMPUTED_VALUE"""),"LAMBAYEQUE")</f>
        <v>LAMBAYEQUE</v>
      </c>
      <c r="E1232" s="25" t="str">
        <f ca="1">IFERROR(__xludf.DUMMYFUNCTION("""COMPUTED_VALUE"""),"LA LIBERTAD")</f>
        <v>LA LIBERTAD</v>
      </c>
      <c r="F1232" s="25" t="str">
        <f ca="1">IFERROR(__xludf.DUMMYFUNCTION("""COMPUTED_VALUE"""),"PACASMAYO")</f>
        <v>PACASMAYO</v>
      </c>
      <c r="G1232" s="25" t="str">
        <f ca="1">IFERROR(__xludf.DUMMYFUNCTION("""COMPUTED_VALUE"""),"PACASMAYO")</f>
        <v>PACASMAYO</v>
      </c>
      <c r="H1232" s="25" t="str">
        <f ca="1">IFERROR(__xludf.DUMMYFUNCTION("""COMPUTED_VALUE"""),"URBANO")</f>
        <v>URBANO</v>
      </c>
      <c r="I1232" s="25" t="str">
        <f ca="1">IFERROR(__xludf.DUMMYFUNCTION("""COMPUTED_VALUE"""),"Prioridad 1")</f>
        <v>Prioridad 1</v>
      </c>
      <c r="J1232" s="43" t="s">
        <v>261</v>
      </c>
    </row>
    <row r="1233" spans="2:10">
      <c r="B1233" s="25" t="str">
        <f ca="1">IFERROR(__xludf.DUMMYFUNCTION("""COMPUTED_VALUE"""),"MUNICIPALIDAD DISTRITAL")</f>
        <v>MUNICIPALIDAD DISTRITAL</v>
      </c>
      <c r="C1233" s="25" t="str">
        <f ca="1">IFERROR(__xludf.DUMMYFUNCTION("""COMPUTED_VALUE"""),"MUNICIPALIDAD DISTRITAL DE JEQUETEPEQUE")</f>
        <v>MUNICIPALIDAD DISTRITAL DE JEQUETEPEQUE</v>
      </c>
      <c r="D1233" s="25" t="str">
        <f ca="1">IFERROR(__xludf.DUMMYFUNCTION("""COMPUTED_VALUE"""),"LAMBAYEQUE")</f>
        <v>LAMBAYEQUE</v>
      </c>
      <c r="E1233" s="25" t="str">
        <f ca="1">IFERROR(__xludf.DUMMYFUNCTION("""COMPUTED_VALUE"""),"LA LIBERTAD")</f>
        <v>LA LIBERTAD</v>
      </c>
      <c r="F1233" s="25" t="str">
        <f ca="1">IFERROR(__xludf.DUMMYFUNCTION("""COMPUTED_VALUE"""),"PACASMAYO")</f>
        <v>PACASMAYO</v>
      </c>
      <c r="G1233" s="25" t="str">
        <f ca="1">IFERROR(__xludf.DUMMYFUNCTION("""COMPUTED_VALUE"""),"JEQUETEPEQUE")</f>
        <v>JEQUETEPEQUE</v>
      </c>
      <c r="H1233" s="25" t="str">
        <f ca="1">IFERROR(__xludf.DUMMYFUNCTION("""COMPUTED_VALUE"""),"URBANO")</f>
        <v>URBANO</v>
      </c>
      <c r="I1233" s="25" t="str">
        <f ca="1">IFERROR(__xludf.DUMMYFUNCTION("""COMPUTED_VALUE"""),"Prioridad 2")</f>
        <v>Prioridad 2</v>
      </c>
      <c r="J1233" s="43" t="s">
        <v>261</v>
      </c>
    </row>
    <row r="1234" spans="2:10">
      <c r="B1234" s="25" t="str">
        <f ca="1">IFERROR(__xludf.DUMMYFUNCTION("""COMPUTED_VALUE"""),"MUNICIPALIDAD DISTRITAL")</f>
        <v>MUNICIPALIDAD DISTRITAL</v>
      </c>
      <c r="C1234" s="25" t="str">
        <f ca="1">IFERROR(__xludf.DUMMYFUNCTION("""COMPUTED_VALUE"""),"MUNICIPALIDAD DISTRITAL DE SAN JOSE EN PACASMAYO")</f>
        <v>MUNICIPALIDAD DISTRITAL DE SAN JOSE EN PACASMAYO</v>
      </c>
      <c r="D1234" s="25" t="str">
        <f ca="1">IFERROR(__xludf.DUMMYFUNCTION("""COMPUTED_VALUE"""),"LAMBAYEQUE")</f>
        <v>LAMBAYEQUE</v>
      </c>
      <c r="E1234" s="25" t="str">
        <f ca="1">IFERROR(__xludf.DUMMYFUNCTION("""COMPUTED_VALUE"""),"LA LIBERTAD")</f>
        <v>LA LIBERTAD</v>
      </c>
      <c r="F1234" s="25" t="str">
        <f ca="1">IFERROR(__xludf.DUMMYFUNCTION("""COMPUTED_VALUE"""),"PACASMAYO")</f>
        <v>PACASMAYO</v>
      </c>
      <c r="G1234" s="25" t="str">
        <f ca="1">IFERROR(__xludf.DUMMYFUNCTION("""COMPUTED_VALUE"""),"SAN JOSE")</f>
        <v>SAN JOSE</v>
      </c>
      <c r="H1234" s="25" t="str">
        <f ca="1">IFERROR(__xludf.DUMMYFUNCTION("""COMPUTED_VALUE"""),"URBANO")</f>
        <v>URBANO</v>
      </c>
      <c r="I1234" s="25" t="str">
        <f ca="1">IFERROR(__xludf.DUMMYFUNCTION("""COMPUTED_VALUE"""),"Prioridad 2")</f>
        <v>Prioridad 2</v>
      </c>
      <c r="J1234" s="43" t="s">
        <v>261</v>
      </c>
    </row>
    <row r="1235" spans="2:10">
      <c r="B1235" s="25" t="str">
        <f ca="1">IFERROR(__xludf.DUMMYFUNCTION("""COMPUTED_VALUE"""),"MUNICIPALIDAD PROVINCIAL")</f>
        <v>MUNICIPALIDAD PROVINCIAL</v>
      </c>
      <c r="C1235" s="25" t="str">
        <f ca="1">IFERROR(__xludf.DUMMYFUNCTION("""COMPUTED_VALUE"""),"MUNICIPALIDAD PROVINCIAL DE PATAZ")</f>
        <v>MUNICIPALIDAD PROVINCIAL DE PATAZ</v>
      </c>
      <c r="D1235" s="25" t="str">
        <f ca="1">IFERROR(__xludf.DUMMYFUNCTION("""COMPUTED_VALUE"""),"LA LIBERTAD")</f>
        <v>LA LIBERTAD</v>
      </c>
      <c r="E1235" s="25" t="str">
        <f ca="1">IFERROR(__xludf.DUMMYFUNCTION("""COMPUTED_VALUE"""),"LA LIBERTAD")</f>
        <v>LA LIBERTAD</v>
      </c>
      <c r="F1235" s="25" t="str">
        <f ca="1">IFERROR(__xludf.DUMMYFUNCTION("""COMPUTED_VALUE"""),"PATAZ")</f>
        <v>PATAZ</v>
      </c>
      <c r="G1235" s="25" t="str">
        <f ca="1">IFERROR(__xludf.DUMMYFUNCTION("""COMPUTED_VALUE"""),"TAYABAMBA")</f>
        <v>TAYABAMBA</v>
      </c>
      <c r="H1235" s="25" t="str">
        <f ca="1">IFERROR(__xludf.DUMMYFUNCTION("""COMPUTED_VALUE"""),"RURAL")</f>
        <v>RURAL</v>
      </c>
      <c r="I1235" s="25" t="str">
        <f ca="1">IFERROR(__xludf.DUMMYFUNCTION("""COMPUTED_VALUE"""),"Prioridad 2")</f>
        <v>Prioridad 2</v>
      </c>
      <c r="J1235" s="43" t="s">
        <v>261</v>
      </c>
    </row>
    <row r="1236" spans="2:10">
      <c r="B1236" s="25" t="str">
        <f ca="1">IFERROR(__xludf.DUMMYFUNCTION("""COMPUTED_VALUE"""),"MUNICIPALIDAD DISTRITAL")</f>
        <v>MUNICIPALIDAD DISTRITAL</v>
      </c>
      <c r="C1236" s="25" t="str">
        <f ca="1">IFERROR(__xludf.DUMMYFUNCTION("""COMPUTED_VALUE"""),"MUNICIPALIDAD DISTRITAL DE BULDIBUYO")</f>
        <v>MUNICIPALIDAD DISTRITAL DE BULDIBUYO</v>
      </c>
      <c r="D1236" s="25" t="str">
        <f ca="1">IFERROR(__xludf.DUMMYFUNCTION("""COMPUTED_VALUE"""),"LA LIBERTAD")</f>
        <v>LA LIBERTAD</v>
      </c>
      <c r="E1236" s="25" t="str">
        <f ca="1">IFERROR(__xludf.DUMMYFUNCTION("""COMPUTED_VALUE"""),"LA LIBERTAD")</f>
        <v>LA LIBERTAD</v>
      </c>
      <c r="F1236" s="25" t="str">
        <f ca="1">IFERROR(__xludf.DUMMYFUNCTION("""COMPUTED_VALUE"""),"PATAZ")</f>
        <v>PATAZ</v>
      </c>
      <c r="G1236" s="25" t="str">
        <f ca="1">IFERROR(__xludf.DUMMYFUNCTION("""COMPUTED_VALUE"""),"BULDIBUYO")</f>
        <v>BULDIBUYO</v>
      </c>
      <c r="H1236" s="25" t="str">
        <f ca="1">IFERROR(__xludf.DUMMYFUNCTION("""COMPUTED_VALUE"""),"RURAL")</f>
        <v>RURAL</v>
      </c>
      <c r="I1236" s="25" t="str">
        <f ca="1">IFERROR(__xludf.DUMMYFUNCTION("""COMPUTED_VALUE"""),"Prioridad 3")</f>
        <v>Prioridad 3</v>
      </c>
      <c r="J1236" s="43" t="s">
        <v>261</v>
      </c>
    </row>
    <row r="1237" spans="2:10">
      <c r="B1237" s="25" t="str">
        <f ca="1">IFERROR(__xludf.DUMMYFUNCTION("""COMPUTED_VALUE"""),"MUNICIPALIDAD DISTRITAL")</f>
        <v>MUNICIPALIDAD DISTRITAL</v>
      </c>
      <c r="C1237" s="25" t="str">
        <f ca="1">IFERROR(__xludf.DUMMYFUNCTION("""COMPUTED_VALUE"""),"MUNICIPALIDAD DISTRITAL DE CHILLIA")</f>
        <v>MUNICIPALIDAD DISTRITAL DE CHILLIA</v>
      </c>
      <c r="D1237" s="25" t="str">
        <f ca="1">IFERROR(__xludf.DUMMYFUNCTION("""COMPUTED_VALUE"""),"LA LIBERTAD")</f>
        <v>LA LIBERTAD</v>
      </c>
      <c r="E1237" s="25" t="str">
        <f ca="1">IFERROR(__xludf.DUMMYFUNCTION("""COMPUTED_VALUE"""),"LA LIBERTAD")</f>
        <v>LA LIBERTAD</v>
      </c>
      <c r="F1237" s="25" t="str">
        <f ca="1">IFERROR(__xludf.DUMMYFUNCTION("""COMPUTED_VALUE"""),"PATAZ")</f>
        <v>PATAZ</v>
      </c>
      <c r="G1237" s="25" t="str">
        <f ca="1">IFERROR(__xludf.DUMMYFUNCTION("""COMPUTED_VALUE"""),"CHILLIA")</f>
        <v>CHILLIA</v>
      </c>
      <c r="H1237" s="25" t="str">
        <f ca="1">IFERROR(__xludf.DUMMYFUNCTION("""COMPUTED_VALUE"""),"RURAL")</f>
        <v>RURAL</v>
      </c>
      <c r="I1237" s="25" t="str">
        <f ca="1">IFERROR(__xludf.DUMMYFUNCTION("""COMPUTED_VALUE"""),"Prioridad 5")</f>
        <v>Prioridad 5</v>
      </c>
      <c r="J1237" s="43" t="s">
        <v>261</v>
      </c>
    </row>
    <row r="1238" spans="2:10">
      <c r="B1238" s="25" t="str">
        <f ca="1">IFERROR(__xludf.DUMMYFUNCTION("""COMPUTED_VALUE"""),"MUNICIPALIDAD DISTRITAL")</f>
        <v>MUNICIPALIDAD DISTRITAL</v>
      </c>
      <c r="C1238" s="25" t="str">
        <f ca="1">IFERROR(__xludf.DUMMYFUNCTION("""COMPUTED_VALUE"""),"MUNICIPALIDAD DISTRITAL DE HUANCASPATA")</f>
        <v>MUNICIPALIDAD DISTRITAL DE HUANCASPATA</v>
      </c>
      <c r="D1238" s="25" t="str">
        <f ca="1">IFERROR(__xludf.DUMMYFUNCTION("""COMPUTED_VALUE"""),"LA LIBERTAD")</f>
        <v>LA LIBERTAD</v>
      </c>
      <c r="E1238" s="25" t="str">
        <f ca="1">IFERROR(__xludf.DUMMYFUNCTION("""COMPUTED_VALUE"""),"LA LIBERTAD")</f>
        <v>LA LIBERTAD</v>
      </c>
      <c r="F1238" s="25" t="str">
        <f ca="1">IFERROR(__xludf.DUMMYFUNCTION("""COMPUTED_VALUE"""),"PATAZ")</f>
        <v>PATAZ</v>
      </c>
      <c r="G1238" s="25" t="str">
        <f ca="1">IFERROR(__xludf.DUMMYFUNCTION("""COMPUTED_VALUE"""),"HUANCASPATA")</f>
        <v>HUANCASPATA</v>
      </c>
      <c r="H1238" s="25" t="str">
        <f ca="1">IFERROR(__xludf.DUMMYFUNCTION("""COMPUTED_VALUE"""),"RURAL")</f>
        <v>RURAL</v>
      </c>
      <c r="I1238" s="25" t="str">
        <f ca="1">IFERROR(__xludf.DUMMYFUNCTION("""COMPUTED_VALUE"""),"Prioridad 5")</f>
        <v>Prioridad 5</v>
      </c>
      <c r="J1238" s="43" t="s">
        <v>261</v>
      </c>
    </row>
    <row r="1239" spans="2:10">
      <c r="B1239" s="25" t="str">
        <f ca="1">IFERROR(__xludf.DUMMYFUNCTION("""COMPUTED_VALUE"""),"MUNICIPALIDAD DISTRITAL")</f>
        <v>MUNICIPALIDAD DISTRITAL</v>
      </c>
      <c r="C1239" s="25" t="str">
        <f ca="1">IFERROR(__xludf.DUMMYFUNCTION("""COMPUTED_VALUE"""),"MUNICIPALIDAD DISTRITAL DE HUAYLILLAS")</f>
        <v>MUNICIPALIDAD DISTRITAL DE HUAYLILLAS</v>
      </c>
      <c r="D1239" s="25" t="str">
        <f ca="1">IFERROR(__xludf.DUMMYFUNCTION("""COMPUTED_VALUE"""),"LA LIBERTAD")</f>
        <v>LA LIBERTAD</v>
      </c>
      <c r="E1239" s="25" t="str">
        <f ca="1">IFERROR(__xludf.DUMMYFUNCTION("""COMPUTED_VALUE"""),"LA LIBERTAD")</f>
        <v>LA LIBERTAD</v>
      </c>
      <c r="F1239" s="25" t="str">
        <f ca="1">IFERROR(__xludf.DUMMYFUNCTION("""COMPUTED_VALUE"""),"PATAZ")</f>
        <v>PATAZ</v>
      </c>
      <c r="G1239" s="25" t="str">
        <f ca="1">IFERROR(__xludf.DUMMYFUNCTION("""COMPUTED_VALUE"""),"HUAYLILLAS")</f>
        <v>HUAYLILLAS</v>
      </c>
      <c r="H1239" s="25" t="str">
        <f ca="1">IFERROR(__xludf.DUMMYFUNCTION("""COMPUTED_VALUE"""),"RURAL")</f>
        <v>RURAL</v>
      </c>
      <c r="I1239" s="25" t="str">
        <f ca="1">IFERROR(__xludf.DUMMYFUNCTION("""COMPUTED_VALUE"""),"Prioridad 5")</f>
        <v>Prioridad 5</v>
      </c>
      <c r="J1239" s="43" t="s">
        <v>261</v>
      </c>
    </row>
    <row r="1240" spans="2:10">
      <c r="B1240" s="25" t="str">
        <f ca="1">IFERROR(__xludf.DUMMYFUNCTION("""COMPUTED_VALUE"""),"MUNICIPALIDAD DISTRITAL")</f>
        <v>MUNICIPALIDAD DISTRITAL</v>
      </c>
      <c r="C1240" s="25" t="str">
        <f ca="1">IFERROR(__xludf.DUMMYFUNCTION("""COMPUTED_VALUE"""),"MUNICIPALIDAD DISTRITAL DE HUAYO")</f>
        <v>MUNICIPALIDAD DISTRITAL DE HUAYO</v>
      </c>
      <c r="D1240" s="25" t="str">
        <f ca="1">IFERROR(__xludf.DUMMYFUNCTION("""COMPUTED_VALUE"""),"LA LIBERTAD")</f>
        <v>LA LIBERTAD</v>
      </c>
      <c r="E1240" s="25" t="str">
        <f ca="1">IFERROR(__xludf.DUMMYFUNCTION("""COMPUTED_VALUE"""),"LA LIBERTAD")</f>
        <v>LA LIBERTAD</v>
      </c>
      <c r="F1240" s="25" t="str">
        <f ca="1">IFERROR(__xludf.DUMMYFUNCTION("""COMPUTED_VALUE"""),"PATAZ")</f>
        <v>PATAZ</v>
      </c>
      <c r="G1240" s="25" t="str">
        <f ca="1">IFERROR(__xludf.DUMMYFUNCTION("""COMPUTED_VALUE"""),"HUAYO")</f>
        <v>HUAYO</v>
      </c>
      <c r="H1240" s="25" t="str">
        <f ca="1">IFERROR(__xludf.DUMMYFUNCTION("""COMPUTED_VALUE"""),"RURAL")</f>
        <v>RURAL</v>
      </c>
      <c r="I1240" s="25" t="str">
        <f ca="1">IFERROR(__xludf.DUMMYFUNCTION("""COMPUTED_VALUE"""),"Prioridad 5")</f>
        <v>Prioridad 5</v>
      </c>
      <c r="J1240" s="43" t="s">
        <v>261</v>
      </c>
    </row>
    <row r="1241" spans="2:10">
      <c r="B1241" s="25" t="str">
        <f ca="1">IFERROR(__xludf.DUMMYFUNCTION("""COMPUTED_VALUE"""),"MUNICIPALIDAD DISTRITAL")</f>
        <v>MUNICIPALIDAD DISTRITAL</v>
      </c>
      <c r="C1241" s="25" t="str">
        <f ca="1">IFERROR(__xludf.DUMMYFUNCTION("""COMPUTED_VALUE"""),"MUNICIPALIDAD DISTRITAL DE ONGON")</f>
        <v>MUNICIPALIDAD DISTRITAL DE ONGON</v>
      </c>
      <c r="D1241" s="25" t="str">
        <f ca="1">IFERROR(__xludf.DUMMYFUNCTION("""COMPUTED_VALUE"""),"LA LIBERTAD")</f>
        <v>LA LIBERTAD</v>
      </c>
      <c r="E1241" s="25" t="str">
        <f ca="1">IFERROR(__xludf.DUMMYFUNCTION("""COMPUTED_VALUE"""),"LA LIBERTAD")</f>
        <v>LA LIBERTAD</v>
      </c>
      <c r="F1241" s="25" t="str">
        <f ca="1">IFERROR(__xludf.DUMMYFUNCTION("""COMPUTED_VALUE"""),"PATAZ")</f>
        <v>PATAZ</v>
      </c>
      <c r="G1241" s="25" t="str">
        <f ca="1">IFERROR(__xludf.DUMMYFUNCTION("""COMPUTED_VALUE"""),"ONGON")</f>
        <v>ONGON</v>
      </c>
      <c r="H1241" s="25" t="str">
        <f ca="1">IFERROR(__xludf.DUMMYFUNCTION("""COMPUTED_VALUE"""),"RURAL")</f>
        <v>RURAL</v>
      </c>
      <c r="I1241" s="25" t="str">
        <f ca="1">IFERROR(__xludf.DUMMYFUNCTION("""COMPUTED_VALUE"""),"Prioridad 5")</f>
        <v>Prioridad 5</v>
      </c>
      <c r="J1241" s="43" t="s">
        <v>261</v>
      </c>
    </row>
    <row r="1242" spans="2:10">
      <c r="B1242" s="25" t="str">
        <f ca="1">IFERROR(__xludf.DUMMYFUNCTION("""COMPUTED_VALUE"""),"MUNICIPALIDAD DISTRITAL")</f>
        <v>MUNICIPALIDAD DISTRITAL</v>
      </c>
      <c r="C1242" s="25" t="str">
        <f ca="1">IFERROR(__xludf.DUMMYFUNCTION("""COMPUTED_VALUE"""),"MUNICIPALIDAD DISTRITAL DE PARCOY")</f>
        <v>MUNICIPALIDAD DISTRITAL DE PARCOY</v>
      </c>
      <c r="D1242" s="25" t="str">
        <f ca="1">IFERROR(__xludf.DUMMYFUNCTION("""COMPUTED_VALUE"""),"LA LIBERTAD")</f>
        <v>LA LIBERTAD</v>
      </c>
      <c r="E1242" s="25" t="str">
        <f ca="1">IFERROR(__xludf.DUMMYFUNCTION("""COMPUTED_VALUE"""),"LA LIBERTAD")</f>
        <v>LA LIBERTAD</v>
      </c>
      <c r="F1242" s="25" t="str">
        <f ca="1">IFERROR(__xludf.DUMMYFUNCTION("""COMPUTED_VALUE"""),"PATAZ")</f>
        <v>PATAZ</v>
      </c>
      <c r="G1242" s="25" t="str">
        <f ca="1">IFERROR(__xludf.DUMMYFUNCTION("""COMPUTED_VALUE"""),"PARCOY")</f>
        <v>PARCOY</v>
      </c>
      <c r="H1242" s="25" t="str">
        <f ca="1">IFERROR(__xludf.DUMMYFUNCTION("""COMPUTED_VALUE"""),"RURAL")</f>
        <v>RURAL</v>
      </c>
      <c r="I1242" s="25" t="str">
        <f ca="1">IFERROR(__xludf.DUMMYFUNCTION("""COMPUTED_VALUE"""),"Prioridad 2")</f>
        <v>Prioridad 2</v>
      </c>
      <c r="J1242" s="43" t="s">
        <v>261</v>
      </c>
    </row>
    <row r="1243" spans="2:10">
      <c r="B1243" s="25" t="str">
        <f ca="1">IFERROR(__xludf.DUMMYFUNCTION("""COMPUTED_VALUE"""),"MUNICIPALIDAD DISTRITAL")</f>
        <v>MUNICIPALIDAD DISTRITAL</v>
      </c>
      <c r="C1243" s="25" t="str">
        <f ca="1">IFERROR(__xludf.DUMMYFUNCTION("""COMPUTED_VALUE"""),"MUNICIPALIDAD DISTRITAL DE PATAZ")</f>
        <v>MUNICIPALIDAD DISTRITAL DE PATAZ</v>
      </c>
      <c r="D1243" s="25" t="str">
        <f ca="1">IFERROR(__xludf.DUMMYFUNCTION("""COMPUTED_VALUE"""),"LA LIBERTAD")</f>
        <v>LA LIBERTAD</v>
      </c>
      <c r="E1243" s="25" t="str">
        <f ca="1">IFERROR(__xludf.DUMMYFUNCTION("""COMPUTED_VALUE"""),"LA LIBERTAD")</f>
        <v>LA LIBERTAD</v>
      </c>
      <c r="F1243" s="25" t="str">
        <f ca="1">IFERROR(__xludf.DUMMYFUNCTION("""COMPUTED_VALUE"""),"PATAZ")</f>
        <v>PATAZ</v>
      </c>
      <c r="G1243" s="25" t="str">
        <f ca="1">IFERROR(__xludf.DUMMYFUNCTION("""COMPUTED_VALUE"""),"PATAZ")</f>
        <v>PATAZ</v>
      </c>
      <c r="H1243" s="25" t="str">
        <f ca="1">IFERROR(__xludf.DUMMYFUNCTION("""COMPUTED_VALUE"""),"RURAL")</f>
        <v>RURAL</v>
      </c>
      <c r="I1243" s="25" t="str">
        <f ca="1">IFERROR(__xludf.DUMMYFUNCTION("""COMPUTED_VALUE"""),"Prioridad 2")</f>
        <v>Prioridad 2</v>
      </c>
      <c r="J1243" s="43" t="s">
        <v>261</v>
      </c>
    </row>
    <row r="1244" spans="2:10">
      <c r="B1244" s="25" t="str">
        <f ca="1">IFERROR(__xludf.DUMMYFUNCTION("""COMPUTED_VALUE"""),"MUNICIPALIDAD DISTRITAL")</f>
        <v>MUNICIPALIDAD DISTRITAL</v>
      </c>
      <c r="C1244" s="25" t="str">
        <f ca="1">IFERROR(__xludf.DUMMYFUNCTION("""COMPUTED_VALUE"""),"MUNICIPALIDAD DISTRITAL DE PIAS")</f>
        <v>MUNICIPALIDAD DISTRITAL DE PIAS</v>
      </c>
      <c r="D1244" s="25" t="str">
        <f ca="1">IFERROR(__xludf.DUMMYFUNCTION("""COMPUTED_VALUE"""),"LA LIBERTAD")</f>
        <v>LA LIBERTAD</v>
      </c>
      <c r="E1244" s="25" t="str">
        <f ca="1">IFERROR(__xludf.DUMMYFUNCTION("""COMPUTED_VALUE"""),"LA LIBERTAD")</f>
        <v>LA LIBERTAD</v>
      </c>
      <c r="F1244" s="25" t="str">
        <f ca="1">IFERROR(__xludf.DUMMYFUNCTION("""COMPUTED_VALUE"""),"PATAZ")</f>
        <v>PATAZ</v>
      </c>
      <c r="G1244" s="25" t="str">
        <f ca="1">IFERROR(__xludf.DUMMYFUNCTION("""COMPUTED_VALUE"""),"PIAS")</f>
        <v>PIAS</v>
      </c>
      <c r="H1244" s="25" t="str">
        <f ca="1">IFERROR(__xludf.DUMMYFUNCTION("""COMPUTED_VALUE"""),"RURAL")</f>
        <v>RURAL</v>
      </c>
      <c r="I1244" s="25" t="str">
        <f ca="1">IFERROR(__xludf.DUMMYFUNCTION("""COMPUTED_VALUE"""),"Prioridad 3")</f>
        <v>Prioridad 3</v>
      </c>
      <c r="J1244" s="43" t="s">
        <v>261</v>
      </c>
    </row>
    <row r="1245" spans="2:10">
      <c r="B1245" s="25" t="str">
        <f ca="1">IFERROR(__xludf.DUMMYFUNCTION("""COMPUTED_VALUE"""),"MUNICIPALIDAD DISTRITAL")</f>
        <v>MUNICIPALIDAD DISTRITAL</v>
      </c>
      <c r="C1245" s="25" t="str">
        <f ca="1">IFERROR(__xludf.DUMMYFUNCTION("""COMPUTED_VALUE"""),"MUNICIPALIDAD DISTRITAL DE SANTIAGO DE CHALLAS")</f>
        <v>MUNICIPALIDAD DISTRITAL DE SANTIAGO DE CHALLAS</v>
      </c>
      <c r="D1245" s="25" t="str">
        <f ca="1">IFERROR(__xludf.DUMMYFUNCTION("""COMPUTED_VALUE"""),"LA LIBERTAD")</f>
        <v>LA LIBERTAD</v>
      </c>
      <c r="E1245" s="25" t="str">
        <f ca="1">IFERROR(__xludf.DUMMYFUNCTION("""COMPUTED_VALUE"""),"LA LIBERTAD")</f>
        <v>LA LIBERTAD</v>
      </c>
      <c r="F1245" s="25" t="str">
        <f ca="1">IFERROR(__xludf.DUMMYFUNCTION("""COMPUTED_VALUE"""),"PATAZ")</f>
        <v>PATAZ</v>
      </c>
      <c r="G1245" s="25" t="str">
        <f ca="1">IFERROR(__xludf.DUMMYFUNCTION("""COMPUTED_VALUE"""),"SANTIAGO DE CHALLAS")</f>
        <v>SANTIAGO DE CHALLAS</v>
      </c>
      <c r="H1245" s="25" t="str">
        <f ca="1">IFERROR(__xludf.DUMMYFUNCTION("""COMPUTED_VALUE"""),"RURAL")</f>
        <v>RURAL</v>
      </c>
      <c r="I1245" s="25" t="str">
        <f ca="1">IFERROR(__xludf.DUMMYFUNCTION("""COMPUTED_VALUE"""),"Prioridad 5")</f>
        <v>Prioridad 5</v>
      </c>
      <c r="J1245" s="43" t="s">
        <v>261</v>
      </c>
    </row>
    <row r="1246" spans="2:10">
      <c r="B1246" s="25" t="str">
        <f ca="1">IFERROR(__xludf.DUMMYFUNCTION("""COMPUTED_VALUE"""),"MUNICIPALIDAD DISTRITAL")</f>
        <v>MUNICIPALIDAD DISTRITAL</v>
      </c>
      <c r="C1246" s="25" t="str">
        <f ca="1">IFERROR(__xludf.DUMMYFUNCTION("""COMPUTED_VALUE"""),"MUNICIPALIDAD DISTRITAL DE TAURIJA")</f>
        <v>MUNICIPALIDAD DISTRITAL DE TAURIJA</v>
      </c>
      <c r="D1246" s="25" t="str">
        <f ca="1">IFERROR(__xludf.DUMMYFUNCTION("""COMPUTED_VALUE"""),"LA LIBERTAD")</f>
        <v>LA LIBERTAD</v>
      </c>
      <c r="E1246" s="25" t="str">
        <f ca="1">IFERROR(__xludf.DUMMYFUNCTION("""COMPUTED_VALUE"""),"LA LIBERTAD")</f>
        <v>LA LIBERTAD</v>
      </c>
      <c r="F1246" s="25" t="str">
        <f ca="1">IFERROR(__xludf.DUMMYFUNCTION("""COMPUTED_VALUE"""),"PATAZ")</f>
        <v>PATAZ</v>
      </c>
      <c r="G1246" s="25" t="str">
        <f ca="1">IFERROR(__xludf.DUMMYFUNCTION("""COMPUTED_VALUE"""),"TAURIJA")</f>
        <v>TAURIJA</v>
      </c>
      <c r="H1246" s="25" t="str">
        <f ca="1">IFERROR(__xludf.DUMMYFUNCTION("""COMPUTED_VALUE"""),"RURAL")</f>
        <v>RURAL</v>
      </c>
      <c r="I1246" s="25" t="str">
        <f ca="1">IFERROR(__xludf.DUMMYFUNCTION("""COMPUTED_VALUE"""),"Prioridad 5")</f>
        <v>Prioridad 5</v>
      </c>
      <c r="J1246" s="43" t="s">
        <v>261</v>
      </c>
    </row>
    <row r="1247" spans="2:10">
      <c r="B1247" s="25" t="str">
        <f ca="1">IFERROR(__xludf.DUMMYFUNCTION("""COMPUTED_VALUE"""),"MUNICIPALIDAD DISTRITAL")</f>
        <v>MUNICIPALIDAD DISTRITAL</v>
      </c>
      <c r="C1247" s="25" t="str">
        <f ca="1">IFERROR(__xludf.DUMMYFUNCTION("""COMPUTED_VALUE"""),"MUNICIPALIDAD DISTRITAL DE URPAY")</f>
        <v>MUNICIPALIDAD DISTRITAL DE URPAY</v>
      </c>
      <c r="D1247" s="25" t="str">
        <f ca="1">IFERROR(__xludf.DUMMYFUNCTION("""COMPUTED_VALUE"""),"LA LIBERTAD")</f>
        <v>LA LIBERTAD</v>
      </c>
      <c r="E1247" s="25" t="str">
        <f ca="1">IFERROR(__xludf.DUMMYFUNCTION("""COMPUTED_VALUE"""),"LA LIBERTAD")</f>
        <v>LA LIBERTAD</v>
      </c>
      <c r="F1247" s="25" t="str">
        <f ca="1">IFERROR(__xludf.DUMMYFUNCTION("""COMPUTED_VALUE"""),"PATAZ")</f>
        <v>PATAZ</v>
      </c>
      <c r="G1247" s="25" t="str">
        <f ca="1">IFERROR(__xludf.DUMMYFUNCTION("""COMPUTED_VALUE"""),"URPAY")</f>
        <v>URPAY</v>
      </c>
      <c r="H1247" s="25" t="str">
        <f ca="1">IFERROR(__xludf.DUMMYFUNCTION("""COMPUTED_VALUE"""),"RURAL")</f>
        <v>RURAL</v>
      </c>
      <c r="I1247" s="25" t="str">
        <f ca="1">IFERROR(__xludf.DUMMYFUNCTION("""COMPUTED_VALUE"""),"Prioridad 5")</f>
        <v>Prioridad 5</v>
      </c>
      <c r="J1247" s="43" t="s">
        <v>261</v>
      </c>
    </row>
    <row r="1248" spans="2:10">
      <c r="B1248" s="25" t="str">
        <f ca="1">IFERROR(__xludf.DUMMYFUNCTION("""COMPUTED_VALUE"""),"MUNICIPALIDAD PROVINCIAL")</f>
        <v>MUNICIPALIDAD PROVINCIAL</v>
      </c>
      <c r="C1248" s="25" t="str">
        <f ca="1">IFERROR(__xludf.DUMMYFUNCTION("""COMPUTED_VALUE"""),"MUNICIPALIDAD PROVINCIAL DE SANCHEZ CARRION")</f>
        <v>MUNICIPALIDAD PROVINCIAL DE SANCHEZ CARRION</v>
      </c>
      <c r="D1248" s="25" t="str">
        <f ca="1">IFERROR(__xludf.DUMMYFUNCTION("""COMPUTED_VALUE"""),"CAJAMARCA")</f>
        <v>CAJAMARCA</v>
      </c>
      <c r="E1248" s="25" t="str">
        <f ca="1">IFERROR(__xludf.DUMMYFUNCTION("""COMPUTED_VALUE"""),"LA LIBERTAD")</f>
        <v>LA LIBERTAD</v>
      </c>
      <c r="F1248" s="25" t="str">
        <f ca="1">IFERROR(__xludf.DUMMYFUNCTION("""COMPUTED_VALUE"""),"SANCHEZ CARRION")</f>
        <v>SANCHEZ CARRION</v>
      </c>
      <c r="G1248" s="25" t="str">
        <f ca="1">IFERROR(__xludf.DUMMYFUNCTION("""COMPUTED_VALUE"""),"HUAMACHUCO")</f>
        <v>HUAMACHUCO</v>
      </c>
      <c r="H1248" s="25" t="str">
        <f ca="1">IFERROR(__xludf.DUMMYFUNCTION("""COMPUTED_VALUE"""),"URBANO")</f>
        <v>URBANO</v>
      </c>
      <c r="I1248" s="25" t="str">
        <f ca="1">IFERROR(__xludf.DUMMYFUNCTION("""COMPUTED_VALUE"""),"Prioridad 1")</f>
        <v>Prioridad 1</v>
      </c>
      <c r="J1248" s="43" t="s">
        <v>261</v>
      </c>
    </row>
    <row r="1249" spans="2:10">
      <c r="B1249" s="25" t="str">
        <f ca="1">IFERROR(__xludf.DUMMYFUNCTION("""COMPUTED_VALUE"""),"MUNICIPALIDAD DISTRITAL")</f>
        <v>MUNICIPALIDAD DISTRITAL</v>
      </c>
      <c r="C1249" s="25" t="str">
        <f ca="1">IFERROR(__xludf.DUMMYFUNCTION("""COMPUTED_VALUE"""),"MUNICIPALIDAD DISTRITAL DE CHUGAY")</f>
        <v>MUNICIPALIDAD DISTRITAL DE CHUGAY</v>
      </c>
      <c r="D1249" s="25" t="str">
        <f ca="1">IFERROR(__xludf.DUMMYFUNCTION("""COMPUTED_VALUE"""),"CAJAMARCA")</f>
        <v>CAJAMARCA</v>
      </c>
      <c r="E1249" s="25" t="str">
        <f ca="1">IFERROR(__xludf.DUMMYFUNCTION("""COMPUTED_VALUE"""),"LA LIBERTAD")</f>
        <v>LA LIBERTAD</v>
      </c>
      <c r="F1249" s="25" t="str">
        <f ca="1">IFERROR(__xludf.DUMMYFUNCTION("""COMPUTED_VALUE"""),"SANCHEZ CARRION")</f>
        <v>SANCHEZ CARRION</v>
      </c>
      <c r="G1249" s="25" t="str">
        <f ca="1">IFERROR(__xludf.DUMMYFUNCTION("""COMPUTED_VALUE"""),"CHUGAY")</f>
        <v>CHUGAY</v>
      </c>
      <c r="H1249" s="25" t="str">
        <f ca="1">IFERROR(__xludf.DUMMYFUNCTION("""COMPUTED_VALUE"""),"RURAL")</f>
        <v>RURAL</v>
      </c>
      <c r="I1249" s="25" t="str">
        <f ca="1">IFERROR(__xludf.DUMMYFUNCTION("""COMPUTED_VALUE"""),"Prioridad 4")</f>
        <v>Prioridad 4</v>
      </c>
      <c r="J1249" s="43" t="s">
        <v>261</v>
      </c>
    </row>
    <row r="1250" spans="2:10">
      <c r="B1250" s="25" t="str">
        <f ca="1">IFERROR(__xludf.DUMMYFUNCTION("""COMPUTED_VALUE"""),"MUNICIPALIDAD DISTRITAL")</f>
        <v>MUNICIPALIDAD DISTRITAL</v>
      </c>
      <c r="C1250" s="25" t="str">
        <f ca="1">IFERROR(__xludf.DUMMYFUNCTION("""COMPUTED_VALUE"""),"MUNICIPALIDAD DISTRITAL DE COCHORCO")</f>
        <v>MUNICIPALIDAD DISTRITAL DE COCHORCO</v>
      </c>
      <c r="D1250" s="25" t="str">
        <f ca="1">IFERROR(__xludf.DUMMYFUNCTION("""COMPUTED_VALUE"""),"CAJAMARCA")</f>
        <v>CAJAMARCA</v>
      </c>
      <c r="E1250" s="25" t="str">
        <f ca="1">IFERROR(__xludf.DUMMYFUNCTION("""COMPUTED_VALUE"""),"LA LIBERTAD")</f>
        <v>LA LIBERTAD</v>
      </c>
      <c r="F1250" s="25" t="str">
        <f ca="1">IFERROR(__xludf.DUMMYFUNCTION("""COMPUTED_VALUE"""),"SANCHEZ CARRION")</f>
        <v>SANCHEZ CARRION</v>
      </c>
      <c r="G1250" s="25" t="str">
        <f ca="1">IFERROR(__xludf.DUMMYFUNCTION("""COMPUTED_VALUE"""),"COCHORCO")</f>
        <v>COCHORCO</v>
      </c>
      <c r="H1250" s="25" t="str">
        <f ca="1">IFERROR(__xludf.DUMMYFUNCTION("""COMPUTED_VALUE"""),"RURAL")</f>
        <v>RURAL</v>
      </c>
      <c r="I1250" s="25" t="str">
        <f ca="1">IFERROR(__xludf.DUMMYFUNCTION("""COMPUTED_VALUE"""),"Prioridad 5")</f>
        <v>Prioridad 5</v>
      </c>
      <c r="J1250" s="43" t="s">
        <v>261</v>
      </c>
    </row>
    <row r="1251" spans="2:10">
      <c r="B1251" s="25" t="str">
        <f ca="1">IFERROR(__xludf.DUMMYFUNCTION("""COMPUTED_VALUE"""),"MUNICIPALIDAD DISTRITAL")</f>
        <v>MUNICIPALIDAD DISTRITAL</v>
      </c>
      <c r="C1251" s="25" t="str">
        <f ca="1">IFERROR(__xludf.DUMMYFUNCTION("""COMPUTED_VALUE"""),"MUNICIPALIDAD DISTRITAL DE CURGOS")</f>
        <v>MUNICIPALIDAD DISTRITAL DE CURGOS</v>
      </c>
      <c r="D1251" s="25" t="str">
        <f ca="1">IFERROR(__xludf.DUMMYFUNCTION("""COMPUTED_VALUE"""),"CAJAMARCA")</f>
        <v>CAJAMARCA</v>
      </c>
      <c r="E1251" s="25" t="str">
        <f ca="1">IFERROR(__xludf.DUMMYFUNCTION("""COMPUTED_VALUE"""),"LA LIBERTAD")</f>
        <v>LA LIBERTAD</v>
      </c>
      <c r="F1251" s="25" t="str">
        <f ca="1">IFERROR(__xludf.DUMMYFUNCTION("""COMPUTED_VALUE"""),"SANCHEZ CARRION")</f>
        <v>SANCHEZ CARRION</v>
      </c>
      <c r="G1251" s="25" t="str">
        <f ca="1">IFERROR(__xludf.DUMMYFUNCTION("""COMPUTED_VALUE"""),"CURGOS")</f>
        <v>CURGOS</v>
      </c>
      <c r="H1251" s="25" t="str">
        <f ca="1">IFERROR(__xludf.DUMMYFUNCTION("""COMPUTED_VALUE"""),"RURAL")</f>
        <v>RURAL</v>
      </c>
      <c r="I1251" s="25" t="str">
        <f ca="1">IFERROR(__xludf.DUMMYFUNCTION("""COMPUTED_VALUE"""),"Prioridad 5")</f>
        <v>Prioridad 5</v>
      </c>
      <c r="J1251" s="43" t="s">
        <v>261</v>
      </c>
    </row>
    <row r="1252" spans="2:10">
      <c r="B1252" s="25" t="str">
        <f ca="1">IFERROR(__xludf.DUMMYFUNCTION("""COMPUTED_VALUE"""),"MUNICIPALIDAD DISTRITAL")</f>
        <v>MUNICIPALIDAD DISTRITAL</v>
      </c>
      <c r="C1252" s="25" t="str">
        <f ca="1">IFERROR(__xludf.DUMMYFUNCTION("""COMPUTED_VALUE"""),"MUNICIPALIDAD DISTRITAL DE MARCABAL")</f>
        <v>MUNICIPALIDAD DISTRITAL DE MARCABAL</v>
      </c>
      <c r="D1252" s="25" t="str">
        <f ca="1">IFERROR(__xludf.DUMMYFUNCTION("""COMPUTED_VALUE"""),"CAJAMARCA")</f>
        <v>CAJAMARCA</v>
      </c>
      <c r="E1252" s="25" t="str">
        <f ca="1">IFERROR(__xludf.DUMMYFUNCTION("""COMPUTED_VALUE"""),"LA LIBERTAD")</f>
        <v>LA LIBERTAD</v>
      </c>
      <c r="F1252" s="25" t="str">
        <f ca="1">IFERROR(__xludf.DUMMYFUNCTION("""COMPUTED_VALUE"""),"SANCHEZ CARRION")</f>
        <v>SANCHEZ CARRION</v>
      </c>
      <c r="G1252" s="25" t="str">
        <f ca="1">IFERROR(__xludf.DUMMYFUNCTION("""COMPUTED_VALUE"""),"MARCABAL")</f>
        <v>MARCABAL</v>
      </c>
      <c r="H1252" s="25" t="str">
        <f ca="1">IFERROR(__xludf.DUMMYFUNCTION("""COMPUTED_VALUE"""),"RURAL")</f>
        <v>RURAL</v>
      </c>
      <c r="I1252" s="25" t="str">
        <f ca="1">IFERROR(__xludf.DUMMYFUNCTION("""COMPUTED_VALUE"""),"Prioridad 5")</f>
        <v>Prioridad 5</v>
      </c>
      <c r="J1252" s="43" t="s">
        <v>261</v>
      </c>
    </row>
    <row r="1253" spans="2:10">
      <c r="B1253" s="25" t="str">
        <f ca="1">IFERROR(__xludf.DUMMYFUNCTION("""COMPUTED_VALUE"""),"MUNICIPALIDAD DISTRITAL")</f>
        <v>MUNICIPALIDAD DISTRITAL</v>
      </c>
      <c r="C1253" s="25" t="str">
        <f ca="1">IFERROR(__xludf.DUMMYFUNCTION("""COMPUTED_VALUE"""),"MUNICIPALIDAD DISTRITAL DE SANAGORAN")</f>
        <v>MUNICIPALIDAD DISTRITAL DE SANAGORAN</v>
      </c>
      <c r="D1253" s="25" t="str">
        <f ca="1">IFERROR(__xludf.DUMMYFUNCTION("""COMPUTED_VALUE"""),"CAJAMARCA")</f>
        <v>CAJAMARCA</v>
      </c>
      <c r="E1253" s="25" t="str">
        <f ca="1">IFERROR(__xludf.DUMMYFUNCTION("""COMPUTED_VALUE"""),"LA LIBERTAD")</f>
        <v>LA LIBERTAD</v>
      </c>
      <c r="F1253" s="25" t="str">
        <f ca="1">IFERROR(__xludf.DUMMYFUNCTION("""COMPUTED_VALUE"""),"SANCHEZ CARRION")</f>
        <v>SANCHEZ CARRION</v>
      </c>
      <c r="G1253" s="25" t="str">
        <f ca="1">IFERROR(__xludf.DUMMYFUNCTION("""COMPUTED_VALUE"""),"SANAGORAN")</f>
        <v>SANAGORAN</v>
      </c>
      <c r="H1253" s="25" t="str">
        <f ca="1">IFERROR(__xludf.DUMMYFUNCTION("""COMPUTED_VALUE"""),"RURAL")</f>
        <v>RURAL</v>
      </c>
      <c r="I1253" s="25" t="str">
        <f ca="1">IFERROR(__xludf.DUMMYFUNCTION("""COMPUTED_VALUE"""),"Prioridad 4")</f>
        <v>Prioridad 4</v>
      </c>
      <c r="J1253" s="43" t="s">
        <v>261</v>
      </c>
    </row>
    <row r="1254" spans="2:10">
      <c r="B1254" s="25" t="str">
        <f ca="1">IFERROR(__xludf.DUMMYFUNCTION("""COMPUTED_VALUE"""),"MUNICIPALIDAD DISTRITAL")</f>
        <v>MUNICIPALIDAD DISTRITAL</v>
      </c>
      <c r="C1254" s="25" t="str">
        <f ca="1">IFERROR(__xludf.DUMMYFUNCTION("""COMPUTED_VALUE"""),"MUNICIPALIDAD DISTRITAL DE SARIN")</f>
        <v>MUNICIPALIDAD DISTRITAL DE SARIN</v>
      </c>
      <c r="D1254" s="25" t="str">
        <f ca="1">IFERROR(__xludf.DUMMYFUNCTION("""COMPUTED_VALUE"""),"CAJAMARCA")</f>
        <v>CAJAMARCA</v>
      </c>
      <c r="E1254" s="25" t="str">
        <f ca="1">IFERROR(__xludf.DUMMYFUNCTION("""COMPUTED_VALUE"""),"LA LIBERTAD")</f>
        <v>LA LIBERTAD</v>
      </c>
      <c r="F1254" s="25" t="str">
        <f ca="1">IFERROR(__xludf.DUMMYFUNCTION("""COMPUTED_VALUE"""),"SANCHEZ CARRION")</f>
        <v>SANCHEZ CARRION</v>
      </c>
      <c r="G1254" s="25" t="str">
        <f ca="1">IFERROR(__xludf.DUMMYFUNCTION("""COMPUTED_VALUE"""),"SARIN")</f>
        <v>SARIN</v>
      </c>
      <c r="H1254" s="25" t="str">
        <f ca="1">IFERROR(__xludf.DUMMYFUNCTION("""COMPUTED_VALUE"""),"RURAL")</f>
        <v>RURAL</v>
      </c>
      <c r="I1254" s="25" t="str">
        <f ca="1">IFERROR(__xludf.DUMMYFUNCTION("""COMPUTED_VALUE"""),"Prioridad 4")</f>
        <v>Prioridad 4</v>
      </c>
      <c r="J1254" s="43" t="s">
        <v>261</v>
      </c>
    </row>
    <row r="1255" spans="2:10">
      <c r="B1255" s="25" t="str">
        <f ca="1">IFERROR(__xludf.DUMMYFUNCTION("""COMPUTED_VALUE"""),"MUNICIPALIDAD DISTRITAL")</f>
        <v>MUNICIPALIDAD DISTRITAL</v>
      </c>
      <c r="C1255" s="25" t="str">
        <f ca="1">IFERROR(__xludf.DUMMYFUNCTION("""COMPUTED_VALUE"""),"MUNICIPALIDAD DISTRITAL DE SARTIMBAMBA")</f>
        <v>MUNICIPALIDAD DISTRITAL DE SARTIMBAMBA</v>
      </c>
      <c r="D1255" s="25" t="str">
        <f ca="1">IFERROR(__xludf.DUMMYFUNCTION("""COMPUTED_VALUE"""),"CAJAMARCA")</f>
        <v>CAJAMARCA</v>
      </c>
      <c r="E1255" s="25" t="str">
        <f ca="1">IFERROR(__xludf.DUMMYFUNCTION("""COMPUTED_VALUE"""),"LA LIBERTAD")</f>
        <v>LA LIBERTAD</v>
      </c>
      <c r="F1255" s="25" t="str">
        <f ca="1">IFERROR(__xludf.DUMMYFUNCTION("""COMPUTED_VALUE"""),"SANCHEZ CARRION")</f>
        <v>SANCHEZ CARRION</v>
      </c>
      <c r="G1255" s="25" t="str">
        <f ca="1">IFERROR(__xludf.DUMMYFUNCTION("""COMPUTED_VALUE"""),"SARTIMBAMBA")</f>
        <v>SARTIMBAMBA</v>
      </c>
      <c r="H1255" s="25" t="str">
        <f ca="1">IFERROR(__xludf.DUMMYFUNCTION("""COMPUTED_VALUE"""),"RURAL")</f>
        <v>RURAL</v>
      </c>
      <c r="I1255" s="25" t="str">
        <f ca="1">IFERROR(__xludf.DUMMYFUNCTION("""COMPUTED_VALUE"""),"Prioridad 5")</f>
        <v>Prioridad 5</v>
      </c>
      <c r="J1255" s="43" t="s">
        <v>261</v>
      </c>
    </row>
    <row r="1256" spans="2:10">
      <c r="B1256" s="25" t="str">
        <f ca="1">IFERROR(__xludf.DUMMYFUNCTION("""COMPUTED_VALUE"""),"MUNICIPALIDAD PROVINCIAL")</f>
        <v>MUNICIPALIDAD PROVINCIAL</v>
      </c>
      <c r="C1256" s="25" t="str">
        <f ca="1">IFERROR(__xludf.DUMMYFUNCTION("""COMPUTED_VALUE"""),"MUNICIPALIDAD PROVINCIAL DE SANTIAGO DE CHUCO")</f>
        <v>MUNICIPALIDAD PROVINCIAL DE SANTIAGO DE CHUCO</v>
      </c>
      <c r="D1256" s="25" t="str">
        <f ca="1">IFERROR(__xludf.DUMMYFUNCTION("""COMPUTED_VALUE"""),"LA LIBERTAD")</f>
        <v>LA LIBERTAD</v>
      </c>
      <c r="E1256" s="25" t="str">
        <f ca="1">IFERROR(__xludf.DUMMYFUNCTION("""COMPUTED_VALUE"""),"LA LIBERTAD")</f>
        <v>LA LIBERTAD</v>
      </c>
      <c r="F1256" s="25" t="str">
        <f ca="1">IFERROR(__xludf.DUMMYFUNCTION("""COMPUTED_VALUE"""),"SANTIAGO DE CHUCO")</f>
        <v>SANTIAGO DE CHUCO</v>
      </c>
      <c r="G1256" s="25" t="str">
        <f ca="1">IFERROR(__xludf.DUMMYFUNCTION("""COMPUTED_VALUE"""),"SANTIAGO DE CHUCO")</f>
        <v>SANTIAGO DE CHUCO</v>
      </c>
      <c r="H1256" s="25" t="str">
        <f ca="1">IFERROR(__xludf.DUMMYFUNCTION("""COMPUTED_VALUE"""),"RURAL")</f>
        <v>RURAL</v>
      </c>
      <c r="I1256" s="25" t="str">
        <f ca="1">IFERROR(__xludf.DUMMYFUNCTION("""COMPUTED_VALUE"""),"Prioridad 2")</f>
        <v>Prioridad 2</v>
      </c>
      <c r="J1256" s="43" t="s">
        <v>261</v>
      </c>
    </row>
    <row r="1257" spans="2:10">
      <c r="B1257" s="25" t="str">
        <f ca="1">IFERROR(__xludf.DUMMYFUNCTION("""COMPUTED_VALUE"""),"MUNICIPALIDAD DISTRITAL")</f>
        <v>MUNICIPALIDAD DISTRITAL</v>
      </c>
      <c r="C1257" s="25" t="str">
        <f ca="1">IFERROR(__xludf.DUMMYFUNCTION("""COMPUTED_VALUE"""),"MUNICIPALIDAD DISTRITAL DE ANGASMARCA")</f>
        <v>MUNICIPALIDAD DISTRITAL DE ANGASMARCA</v>
      </c>
      <c r="D1257" s="25" t="str">
        <f ca="1">IFERROR(__xludf.DUMMYFUNCTION("""COMPUTED_VALUE"""),"LA LIBERTAD")</f>
        <v>LA LIBERTAD</v>
      </c>
      <c r="E1257" s="25" t="str">
        <f ca="1">IFERROR(__xludf.DUMMYFUNCTION("""COMPUTED_VALUE"""),"LA LIBERTAD")</f>
        <v>LA LIBERTAD</v>
      </c>
      <c r="F1257" s="25" t="str">
        <f ca="1">IFERROR(__xludf.DUMMYFUNCTION("""COMPUTED_VALUE"""),"SANTIAGO DE CHUCO")</f>
        <v>SANTIAGO DE CHUCO</v>
      </c>
      <c r="G1257" s="25" t="str">
        <f ca="1">IFERROR(__xludf.DUMMYFUNCTION("""COMPUTED_VALUE"""),"ANGASMARCA")</f>
        <v>ANGASMARCA</v>
      </c>
      <c r="H1257" s="25" t="str">
        <f ca="1">IFERROR(__xludf.DUMMYFUNCTION("""COMPUTED_VALUE"""),"RURAL")</f>
        <v>RURAL</v>
      </c>
      <c r="I1257" s="25" t="str">
        <f ca="1">IFERROR(__xludf.DUMMYFUNCTION("""COMPUTED_VALUE"""),"Prioridad 5")</f>
        <v>Prioridad 5</v>
      </c>
      <c r="J1257" s="43" t="s">
        <v>261</v>
      </c>
    </row>
    <row r="1258" spans="2:10">
      <c r="B1258" s="25" t="str">
        <f ca="1">IFERROR(__xludf.DUMMYFUNCTION("""COMPUTED_VALUE"""),"MUNICIPALIDAD DISTRITAL")</f>
        <v>MUNICIPALIDAD DISTRITAL</v>
      </c>
      <c r="C1258" s="25" t="str">
        <f ca="1">IFERROR(__xludf.DUMMYFUNCTION("""COMPUTED_VALUE"""),"MUNICIPALIDAD DISTRITAL DE CACHICADAN")</f>
        <v>MUNICIPALIDAD DISTRITAL DE CACHICADAN</v>
      </c>
      <c r="D1258" s="25" t="str">
        <f ca="1">IFERROR(__xludf.DUMMYFUNCTION("""COMPUTED_VALUE"""),"LA LIBERTAD")</f>
        <v>LA LIBERTAD</v>
      </c>
      <c r="E1258" s="25" t="str">
        <f ca="1">IFERROR(__xludf.DUMMYFUNCTION("""COMPUTED_VALUE"""),"LA LIBERTAD")</f>
        <v>LA LIBERTAD</v>
      </c>
      <c r="F1258" s="25" t="str">
        <f ca="1">IFERROR(__xludf.DUMMYFUNCTION("""COMPUTED_VALUE"""),"SANTIAGO DE CHUCO")</f>
        <v>SANTIAGO DE CHUCO</v>
      </c>
      <c r="G1258" s="25" t="str">
        <f ca="1">IFERROR(__xludf.DUMMYFUNCTION("""COMPUTED_VALUE"""),"CACHICADAN")</f>
        <v>CACHICADAN</v>
      </c>
      <c r="H1258" s="25" t="str">
        <f ca="1">IFERROR(__xludf.DUMMYFUNCTION("""COMPUTED_VALUE"""),"URBANO")</f>
        <v>URBANO</v>
      </c>
      <c r="I1258" s="25" t="str">
        <f ca="1">IFERROR(__xludf.DUMMYFUNCTION("""COMPUTED_VALUE"""),"Prioridad 3")</f>
        <v>Prioridad 3</v>
      </c>
      <c r="J1258" s="43" t="s">
        <v>261</v>
      </c>
    </row>
    <row r="1259" spans="2:10">
      <c r="B1259" s="25" t="str">
        <f ca="1">IFERROR(__xludf.DUMMYFUNCTION("""COMPUTED_VALUE"""),"MUNICIPALIDAD DISTRITAL")</f>
        <v>MUNICIPALIDAD DISTRITAL</v>
      </c>
      <c r="C1259" s="25" t="str">
        <f ca="1">IFERROR(__xludf.DUMMYFUNCTION("""COMPUTED_VALUE"""),"MUNICIPALIDAD DISTRITAL DE MOLLEBAMBA")</f>
        <v>MUNICIPALIDAD DISTRITAL DE MOLLEBAMBA</v>
      </c>
      <c r="D1259" s="25" t="str">
        <f ca="1">IFERROR(__xludf.DUMMYFUNCTION("""COMPUTED_VALUE"""),"LA LIBERTAD")</f>
        <v>LA LIBERTAD</v>
      </c>
      <c r="E1259" s="25" t="str">
        <f ca="1">IFERROR(__xludf.DUMMYFUNCTION("""COMPUTED_VALUE"""),"LA LIBERTAD")</f>
        <v>LA LIBERTAD</v>
      </c>
      <c r="F1259" s="25" t="str">
        <f ca="1">IFERROR(__xludf.DUMMYFUNCTION("""COMPUTED_VALUE"""),"SANTIAGO DE CHUCO")</f>
        <v>SANTIAGO DE CHUCO</v>
      </c>
      <c r="G1259" s="25" t="str">
        <f ca="1">IFERROR(__xludf.DUMMYFUNCTION("""COMPUTED_VALUE"""),"MOLLEBAMBA")</f>
        <v>MOLLEBAMBA</v>
      </c>
      <c r="H1259" s="25" t="str">
        <f ca="1">IFERROR(__xludf.DUMMYFUNCTION("""COMPUTED_VALUE"""),"RURAL")</f>
        <v>RURAL</v>
      </c>
      <c r="I1259" s="25" t="str">
        <f ca="1">IFERROR(__xludf.DUMMYFUNCTION("""COMPUTED_VALUE"""),"Prioridad 5")</f>
        <v>Prioridad 5</v>
      </c>
      <c r="J1259" s="43" t="s">
        <v>261</v>
      </c>
    </row>
    <row r="1260" spans="2:10">
      <c r="B1260" s="25" t="str">
        <f ca="1">IFERROR(__xludf.DUMMYFUNCTION("""COMPUTED_VALUE"""),"MUNICIPALIDAD DISTRITAL")</f>
        <v>MUNICIPALIDAD DISTRITAL</v>
      </c>
      <c r="C1260" s="25" t="str">
        <f ca="1">IFERROR(__xludf.DUMMYFUNCTION("""COMPUTED_VALUE"""),"MUNICIPALIDAD DISTRITAL DE MOLLEPATA EN SANTIAGO DE CHUCO")</f>
        <v>MUNICIPALIDAD DISTRITAL DE MOLLEPATA EN SANTIAGO DE CHUCO</v>
      </c>
      <c r="D1260" s="25" t="str">
        <f ca="1">IFERROR(__xludf.DUMMYFUNCTION("""COMPUTED_VALUE"""),"LA LIBERTAD")</f>
        <v>LA LIBERTAD</v>
      </c>
      <c r="E1260" s="25" t="str">
        <f ca="1">IFERROR(__xludf.DUMMYFUNCTION("""COMPUTED_VALUE"""),"LA LIBERTAD")</f>
        <v>LA LIBERTAD</v>
      </c>
      <c r="F1260" s="25" t="str">
        <f ca="1">IFERROR(__xludf.DUMMYFUNCTION("""COMPUTED_VALUE"""),"SANTIAGO DE CHUCO")</f>
        <v>SANTIAGO DE CHUCO</v>
      </c>
      <c r="G1260" s="25" t="str">
        <f ca="1">IFERROR(__xludf.DUMMYFUNCTION("""COMPUTED_VALUE"""),"MOLLEPATA")</f>
        <v>MOLLEPATA</v>
      </c>
      <c r="H1260" s="25" t="str">
        <f ca="1">IFERROR(__xludf.DUMMYFUNCTION("""COMPUTED_VALUE"""),"RURAL")</f>
        <v>RURAL</v>
      </c>
      <c r="I1260" s="25" t="str">
        <f ca="1">IFERROR(__xludf.DUMMYFUNCTION("""COMPUTED_VALUE"""),"Prioridad 5")</f>
        <v>Prioridad 5</v>
      </c>
      <c r="J1260" s="43" t="s">
        <v>261</v>
      </c>
    </row>
    <row r="1261" spans="2:10">
      <c r="B1261" s="25" t="str">
        <f ca="1">IFERROR(__xludf.DUMMYFUNCTION("""COMPUTED_VALUE"""),"MUNICIPALIDAD DISTRITAL")</f>
        <v>MUNICIPALIDAD DISTRITAL</v>
      </c>
      <c r="C1261" s="25" t="str">
        <f ca="1">IFERROR(__xludf.DUMMYFUNCTION("""COMPUTED_VALUE"""),"MUNICIPALIDAD DISTRITAL DE QUIRUVILCA")</f>
        <v>MUNICIPALIDAD DISTRITAL DE QUIRUVILCA</v>
      </c>
      <c r="D1261" s="25" t="str">
        <f ca="1">IFERROR(__xludf.DUMMYFUNCTION("""COMPUTED_VALUE"""),"LA LIBERTAD")</f>
        <v>LA LIBERTAD</v>
      </c>
      <c r="E1261" s="25" t="str">
        <f ca="1">IFERROR(__xludf.DUMMYFUNCTION("""COMPUTED_VALUE"""),"LA LIBERTAD")</f>
        <v>LA LIBERTAD</v>
      </c>
      <c r="F1261" s="25" t="str">
        <f ca="1">IFERROR(__xludf.DUMMYFUNCTION("""COMPUTED_VALUE"""),"SANTIAGO DE CHUCO")</f>
        <v>SANTIAGO DE CHUCO</v>
      </c>
      <c r="G1261" s="25" t="str">
        <f ca="1">IFERROR(__xludf.DUMMYFUNCTION("""COMPUTED_VALUE"""),"QUIRUVILCA")</f>
        <v>QUIRUVILCA</v>
      </c>
      <c r="H1261" s="25" t="str">
        <f ca="1">IFERROR(__xludf.DUMMYFUNCTION("""COMPUTED_VALUE"""),"URBANO")</f>
        <v>URBANO</v>
      </c>
      <c r="I1261" s="25" t="str">
        <f ca="1">IFERROR(__xludf.DUMMYFUNCTION("""COMPUTED_VALUE"""),"Prioridad 3")</f>
        <v>Prioridad 3</v>
      </c>
      <c r="J1261" s="43" t="s">
        <v>261</v>
      </c>
    </row>
    <row r="1262" spans="2:10">
      <c r="B1262" s="25" t="str">
        <f ca="1">IFERROR(__xludf.DUMMYFUNCTION("""COMPUTED_VALUE"""),"MUNICIPALIDAD DISTRITAL")</f>
        <v>MUNICIPALIDAD DISTRITAL</v>
      </c>
      <c r="C1262" s="25" t="str">
        <f ca="1">IFERROR(__xludf.DUMMYFUNCTION("""COMPUTED_VALUE"""),"MUNICIPALIDAD DISTRITAL DE SANTA CRUZ DE CHUCA")</f>
        <v>MUNICIPALIDAD DISTRITAL DE SANTA CRUZ DE CHUCA</v>
      </c>
      <c r="D1262" s="25" t="str">
        <f ca="1">IFERROR(__xludf.DUMMYFUNCTION("""COMPUTED_VALUE"""),"LA LIBERTAD")</f>
        <v>LA LIBERTAD</v>
      </c>
      <c r="E1262" s="25" t="str">
        <f ca="1">IFERROR(__xludf.DUMMYFUNCTION("""COMPUTED_VALUE"""),"LA LIBERTAD")</f>
        <v>LA LIBERTAD</v>
      </c>
      <c r="F1262" s="25" t="str">
        <f ca="1">IFERROR(__xludf.DUMMYFUNCTION("""COMPUTED_VALUE"""),"SANTIAGO DE CHUCO")</f>
        <v>SANTIAGO DE CHUCO</v>
      </c>
      <c r="G1262" s="25" t="str">
        <f ca="1">IFERROR(__xludf.DUMMYFUNCTION("""COMPUTED_VALUE"""),"SANTA CRUZ DE CHUCA")</f>
        <v>SANTA CRUZ DE CHUCA</v>
      </c>
      <c r="H1262" s="25" t="str">
        <f ca="1">IFERROR(__xludf.DUMMYFUNCTION("""COMPUTED_VALUE"""),"RURAL")</f>
        <v>RURAL</v>
      </c>
      <c r="I1262" s="25" t="str">
        <f ca="1">IFERROR(__xludf.DUMMYFUNCTION("""COMPUTED_VALUE"""),"Prioridad 5")</f>
        <v>Prioridad 5</v>
      </c>
      <c r="J1262" s="43" t="s">
        <v>261</v>
      </c>
    </row>
    <row r="1263" spans="2:10">
      <c r="B1263" s="25" t="str">
        <f ca="1">IFERROR(__xludf.DUMMYFUNCTION("""COMPUTED_VALUE"""),"MUNICIPALIDAD DISTRITAL")</f>
        <v>MUNICIPALIDAD DISTRITAL</v>
      </c>
      <c r="C1263" s="25" t="str">
        <f ca="1">IFERROR(__xludf.DUMMYFUNCTION("""COMPUTED_VALUE"""),"MUNICIPALIDAD DISTRITAL DE SITABAMBA")</f>
        <v>MUNICIPALIDAD DISTRITAL DE SITABAMBA</v>
      </c>
      <c r="D1263" s="25" t="str">
        <f ca="1">IFERROR(__xludf.DUMMYFUNCTION("""COMPUTED_VALUE"""),"LA LIBERTAD")</f>
        <v>LA LIBERTAD</v>
      </c>
      <c r="E1263" s="25" t="str">
        <f ca="1">IFERROR(__xludf.DUMMYFUNCTION("""COMPUTED_VALUE"""),"LA LIBERTAD")</f>
        <v>LA LIBERTAD</v>
      </c>
      <c r="F1263" s="25" t="str">
        <f ca="1">IFERROR(__xludf.DUMMYFUNCTION("""COMPUTED_VALUE"""),"SANTIAGO DE CHUCO")</f>
        <v>SANTIAGO DE CHUCO</v>
      </c>
      <c r="G1263" s="25" t="str">
        <f ca="1">IFERROR(__xludf.DUMMYFUNCTION("""COMPUTED_VALUE"""),"SITABAMBA")</f>
        <v>SITABAMBA</v>
      </c>
      <c r="H1263" s="25" t="str">
        <f ca="1">IFERROR(__xludf.DUMMYFUNCTION("""COMPUTED_VALUE"""),"RURAL")</f>
        <v>RURAL</v>
      </c>
      <c r="I1263" s="25" t="str">
        <f ca="1">IFERROR(__xludf.DUMMYFUNCTION("""COMPUTED_VALUE"""),"Prioridad 4")</f>
        <v>Prioridad 4</v>
      </c>
      <c r="J1263" s="43" t="s">
        <v>261</v>
      </c>
    </row>
    <row r="1264" spans="2:10">
      <c r="B1264" s="25" t="str">
        <f ca="1">IFERROR(__xludf.DUMMYFUNCTION("""COMPUTED_VALUE"""),"MUNICIPALIDAD PROVINCIAL")</f>
        <v>MUNICIPALIDAD PROVINCIAL</v>
      </c>
      <c r="C1264" s="25" t="str">
        <f ca="1">IFERROR(__xludf.DUMMYFUNCTION("""COMPUTED_VALUE"""),"MUNICIPALIDAD PROVINCIAL DE TRUJILLO")</f>
        <v>MUNICIPALIDAD PROVINCIAL DE TRUJILLO</v>
      </c>
      <c r="D1264" s="25" t="str">
        <f ca="1">IFERROR(__xludf.DUMMYFUNCTION("""COMPUTED_VALUE"""),"LA LIBERTAD")</f>
        <v>LA LIBERTAD</v>
      </c>
      <c r="E1264" s="25" t="str">
        <f ca="1">IFERROR(__xludf.DUMMYFUNCTION("""COMPUTED_VALUE"""),"LA LIBERTAD")</f>
        <v>LA LIBERTAD</v>
      </c>
      <c r="F1264" s="25" t="str">
        <f ca="1">IFERROR(__xludf.DUMMYFUNCTION("""COMPUTED_VALUE"""),"TRUJILLO")</f>
        <v>TRUJILLO</v>
      </c>
      <c r="G1264" s="25" t="str">
        <f ca="1">IFERROR(__xludf.DUMMYFUNCTION("""COMPUTED_VALUE"""),"TRUJILLO")</f>
        <v>TRUJILLO</v>
      </c>
      <c r="H1264" s="25" t="str">
        <f ca="1">IFERROR(__xludf.DUMMYFUNCTION("""COMPUTED_VALUE"""),"URBANO")</f>
        <v>URBANO</v>
      </c>
      <c r="I1264" s="25" t="str">
        <f ca="1">IFERROR(__xludf.DUMMYFUNCTION("""COMPUTED_VALUE"""),"Prioridad 1")</f>
        <v>Prioridad 1</v>
      </c>
      <c r="J1264" s="43" t="s">
        <v>261</v>
      </c>
    </row>
    <row r="1265" spans="2:10">
      <c r="B1265" s="25" t="str">
        <f ca="1">IFERROR(__xludf.DUMMYFUNCTION("""COMPUTED_VALUE"""),"MUNICIPALIDAD DISTRITAL")</f>
        <v>MUNICIPALIDAD DISTRITAL</v>
      </c>
      <c r="C1265" s="25" t="str">
        <f ca="1">IFERROR(__xludf.DUMMYFUNCTION("""COMPUTED_VALUE"""),"MUNICIPALIDAD DISTRITAL DE LA ESPERANZA EN TRUJILLO")</f>
        <v>MUNICIPALIDAD DISTRITAL DE LA ESPERANZA EN TRUJILLO</v>
      </c>
      <c r="D1265" s="25" t="str">
        <f ca="1">IFERROR(__xludf.DUMMYFUNCTION("""COMPUTED_VALUE"""),"LA LIBERTAD")</f>
        <v>LA LIBERTAD</v>
      </c>
      <c r="E1265" s="25" t="str">
        <f ca="1">IFERROR(__xludf.DUMMYFUNCTION("""COMPUTED_VALUE"""),"LA LIBERTAD")</f>
        <v>LA LIBERTAD</v>
      </c>
      <c r="F1265" s="25" t="str">
        <f ca="1">IFERROR(__xludf.DUMMYFUNCTION("""COMPUTED_VALUE"""),"TRUJILLO")</f>
        <v>TRUJILLO</v>
      </c>
      <c r="G1265" s="25" t="str">
        <f ca="1">IFERROR(__xludf.DUMMYFUNCTION("""COMPUTED_VALUE"""),"LA ESPERANZA")</f>
        <v>LA ESPERANZA</v>
      </c>
      <c r="H1265" s="25" t="str">
        <f ca="1">IFERROR(__xludf.DUMMYFUNCTION("""COMPUTED_VALUE"""),"URBANO")</f>
        <v>URBANO</v>
      </c>
      <c r="I1265" s="25" t="str">
        <f ca="1">IFERROR(__xludf.DUMMYFUNCTION("""COMPUTED_VALUE"""),"Prioridad 1")</f>
        <v>Prioridad 1</v>
      </c>
      <c r="J1265" s="43" t="s">
        <v>261</v>
      </c>
    </row>
    <row r="1266" spans="2:10">
      <c r="B1266" s="25" t="str">
        <f ca="1">IFERROR(__xludf.DUMMYFUNCTION("""COMPUTED_VALUE"""),"MUNICIPALIDAD DISTRITAL")</f>
        <v>MUNICIPALIDAD DISTRITAL</v>
      </c>
      <c r="C1266" s="25" t="str">
        <f ca="1">IFERROR(__xludf.DUMMYFUNCTION("""COMPUTED_VALUE"""),"MUNICIPALIDAD DISTRITAL DE EL PORVENIR EN TRUJILLO")</f>
        <v>MUNICIPALIDAD DISTRITAL DE EL PORVENIR EN TRUJILLO</v>
      </c>
      <c r="D1266" s="25" t="str">
        <f ca="1">IFERROR(__xludf.DUMMYFUNCTION("""COMPUTED_VALUE"""),"LA LIBERTAD")</f>
        <v>LA LIBERTAD</v>
      </c>
      <c r="E1266" s="25" t="str">
        <f ca="1">IFERROR(__xludf.DUMMYFUNCTION("""COMPUTED_VALUE"""),"LA LIBERTAD")</f>
        <v>LA LIBERTAD</v>
      </c>
      <c r="F1266" s="25" t="str">
        <f ca="1">IFERROR(__xludf.DUMMYFUNCTION("""COMPUTED_VALUE"""),"TRUJILLO")</f>
        <v>TRUJILLO</v>
      </c>
      <c r="G1266" s="25" t="str">
        <f ca="1">IFERROR(__xludf.DUMMYFUNCTION("""COMPUTED_VALUE"""),"EL PORVENIR")</f>
        <v>EL PORVENIR</v>
      </c>
      <c r="H1266" s="25" t="str">
        <f ca="1">IFERROR(__xludf.DUMMYFUNCTION("""COMPUTED_VALUE"""),"URBANO")</f>
        <v>URBANO</v>
      </c>
      <c r="I1266" s="25" t="str">
        <f ca="1">IFERROR(__xludf.DUMMYFUNCTION("""COMPUTED_VALUE"""),"Prioridad 1")</f>
        <v>Prioridad 1</v>
      </c>
      <c r="J1266" s="43" t="s">
        <v>261</v>
      </c>
    </row>
    <row r="1267" spans="2:10">
      <c r="B1267" s="25" t="str">
        <f ca="1">IFERROR(__xludf.DUMMYFUNCTION("""COMPUTED_VALUE"""),"MUNICIPALIDAD DISTRITAL")</f>
        <v>MUNICIPALIDAD DISTRITAL</v>
      </c>
      <c r="C1267" s="25" t="str">
        <f ca="1">IFERROR(__xludf.DUMMYFUNCTION("""COMPUTED_VALUE"""),"MUNICIPALIDAD DISTRITAL DE VICTOR LARCO HERRERA")</f>
        <v>MUNICIPALIDAD DISTRITAL DE VICTOR LARCO HERRERA</v>
      </c>
      <c r="D1267" s="25" t="str">
        <f ca="1">IFERROR(__xludf.DUMMYFUNCTION("""COMPUTED_VALUE"""),"LA LIBERTAD")</f>
        <v>LA LIBERTAD</v>
      </c>
      <c r="E1267" s="25" t="str">
        <f ca="1">IFERROR(__xludf.DUMMYFUNCTION("""COMPUTED_VALUE"""),"LA LIBERTAD")</f>
        <v>LA LIBERTAD</v>
      </c>
      <c r="F1267" s="25" t="str">
        <f ca="1">IFERROR(__xludf.DUMMYFUNCTION("""COMPUTED_VALUE"""),"TRUJILLO")</f>
        <v>TRUJILLO</v>
      </c>
      <c r="G1267" s="25" t="str">
        <f ca="1">IFERROR(__xludf.DUMMYFUNCTION("""COMPUTED_VALUE"""),"VICTOR LARCO HERRERA")</f>
        <v>VICTOR LARCO HERRERA</v>
      </c>
      <c r="H1267" s="25" t="str">
        <f ca="1">IFERROR(__xludf.DUMMYFUNCTION("""COMPUTED_VALUE"""),"URBANO")</f>
        <v>URBANO</v>
      </c>
      <c r="I1267" s="25" t="str">
        <f ca="1">IFERROR(__xludf.DUMMYFUNCTION("""COMPUTED_VALUE"""),"Prioridad 1")</f>
        <v>Prioridad 1</v>
      </c>
      <c r="J1267" s="43" t="s">
        <v>261</v>
      </c>
    </row>
    <row r="1268" spans="2:10">
      <c r="B1268" s="25" t="str">
        <f ca="1">IFERROR(__xludf.DUMMYFUNCTION("""COMPUTED_VALUE"""),"MUNICIPALIDAD DISTRITAL")</f>
        <v>MUNICIPALIDAD DISTRITAL</v>
      </c>
      <c r="C1268" s="25" t="str">
        <f ca="1">IFERROR(__xludf.DUMMYFUNCTION("""COMPUTED_VALUE"""),"MUNICIPALIDAD DISTRITAL DE MOCHE")</f>
        <v>MUNICIPALIDAD DISTRITAL DE MOCHE</v>
      </c>
      <c r="D1268" s="25" t="str">
        <f ca="1">IFERROR(__xludf.DUMMYFUNCTION("""COMPUTED_VALUE"""),"LA LIBERTAD")</f>
        <v>LA LIBERTAD</v>
      </c>
      <c r="E1268" s="25" t="str">
        <f ca="1">IFERROR(__xludf.DUMMYFUNCTION("""COMPUTED_VALUE"""),"LA LIBERTAD")</f>
        <v>LA LIBERTAD</v>
      </c>
      <c r="F1268" s="25" t="str">
        <f ca="1">IFERROR(__xludf.DUMMYFUNCTION("""COMPUTED_VALUE"""),"TRUJILLO")</f>
        <v>TRUJILLO</v>
      </c>
      <c r="G1268" s="25" t="str">
        <f ca="1">IFERROR(__xludf.DUMMYFUNCTION("""COMPUTED_VALUE"""),"MOCHE")</f>
        <v>MOCHE</v>
      </c>
      <c r="H1268" s="25" t="str">
        <f ca="1">IFERROR(__xludf.DUMMYFUNCTION("""COMPUTED_VALUE"""),"URBANO")</f>
        <v>URBANO</v>
      </c>
      <c r="I1268" s="25" t="str">
        <f ca="1">IFERROR(__xludf.DUMMYFUNCTION("""COMPUTED_VALUE"""),"Prioridad 1")</f>
        <v>Prioridad 1</v>
      </c>
      <c r="J1268" s="43" t="s">
        <v>261</v>
      </c>
    </row>
    <row r="1269" spans="2:10">
      <c r="B1269" s="25" t="str">
        <f ca="1">IFERROR(__xludf.DUMMYFUNCTION("""COMPUTED_VALUE"""),"MUNICIPALIDAD DISTRITAL")</f>
        <v>MUNICIPALIDAD DISTRITAL</v>
      </c>
      <c r="C1269" s="25" t="str">
        <f ca="1">IFERROR(__xludf.DUMMYFUNCTION("""COMPUTED_VALUE"""),"MUNICIPALIDAD DISTRITAL DE SALAVERRY")</f>
        <v>MUNICIPALIDAD DISTRITAL DE SALAVERRY</v>
      </c>
      <c r="D1269" s="25" t="str">
        <f ca="1">IFERROR(__xludf.DUMMYFUNCTION("""COMPUTED_VALUE"""),"LA LIBERTAD")</f>
        <v>LA LIBERTAD</v>
      </c>
      <c r="E1269" s="25" t="str">
        <f ca="1">IFERROR(__xludf.DUMMYFUNCTION("""COMPUTED_VALUE"""),"LA LIBERTAD")</f>
        <v>LA LIBERTAD</v>
      </c>
      <c r="F1269" s="25" t="str">
        <f ca="1">IFERROR(__xludf.DUMMYFUNCTION("""COMPUTED_VALUE"""),"TRUJILLO")</f>
        <v>TRUJILLO</v>
      </c>
      <c r="G1269" s="25" t="str">
        <f ca="1">IFERROR(__xludf.DUMMYFUNCTION("""COMPUTED_VALUE"""),"SALAVERRY")</f>
        <v>SALAVERRY</v>
      </c>
      <c r="H1269" s="25" t="str">
        <f ca="1">IFERROR(__xludf.DUMMYFUNCTION("""COMPUTED_VALUE"""),"URBANO")</f>
        <v>URBANO</v>
      </c>
      <c r="I1269" s="25" t="str">
        <f ca="1">IFERROR(__xludf.DUMMYFUNCTION("""COMPUTED_VALUE"""),"Prioridad 1")</f>
        <v>Prioridad 1</v>
      </c>
      <c r="J1269" s="43" t="s">
        <v>261</v>
      </c>
    </row>
    <row r="1270" spans="2:10">
      <c r="B1270" s="25" t="str">
        <f ca="1">IFERROR(__xludf.DUMMYFUNCTION("""COMPUTED_VALUE"""),"MUNICIPALIDAD DISTRITAL")</f>
        <v>MUNICIPALIDAD DISTRITAL</v>
      </c>
      <c r="C1270" s="25" t="str">
        <f ca="1">IFERROR(__xludf.DUMMYFUNCTION("""COMPUTED_VALUE"""),"MUNICIPALIDAD DISTRITAL DE LAREDO")</f>
        <v>MUNICIPALIDAD DISTRITAL DE LAREDO</v>
      </c>
      <c r="D1270" s="25" t="str">
        <f ca="1">IFERROR(__xludf.DUMMYFUNCTION("""COMPUTED_VALUE"""),"LA LIBERTAD")</f>
        <v>LA LIBERTAD</v>
      </c>
      <c r="E1270" s="25" t="str">
        <f ca="1">IFERROR(__xludf.DUMMYFUNCTION("""COMPUTED_VALUE"""),"LA LIBERTAD")</f>
        <v>LA LIBERTAD</v>
      </c>
      <c r="F1270" s="25" t="str">
        <f ca="1">IFERROR(__xludf.DUMMYFUNCTION("""COMPUTED_VALUE"""),"TRUJILLO")</f>
        <v>TRUJILLO</v>
      </c>
      <c r="G1270" s="25" t="str">
        <f ca="1">IFERROR(__xludf.DUMMYFUNCTION("""COMPUTED_VALUE"""),"LAREDO")</f>
        <v>LAREDO</v>
      </c>
      <c r="H1270" s="25" t="str">
        <f ca="1">IFERROR(__xludf.DUMMYFUNCTION("""COMPUTED_VALUE"""),"URBANO")</f>
        <v>URBANO</v>
      </c>
      <c r="I1270" s="25" t="str">
        <f ca="1">IFERROR(__xludf.DUMMYFUNCTION("""COMPUTED_VALUE"""),"Prioridad 2")</f>
        <v>Prioridad 2</v>
      </c>
      <c r="J1270" s="43" t="s">
        <v>261</v>
      </c>
    </row>
    <row r="1271" spans="2:10">
      <c r="B1271" s="25" t="str">
        <f ca="1">IFERROR(__xludf.DUMMYFUNCTION("""COMPUTED_VALUE"""),"MUNICIPALIDAD DISTRITAL")</f>
        <v>MUNICIPALIDAD DISTRITAL</v>
      </c>
      <c r="C1271" s="25" t="str">
        <f ca="1">IFERROR(__xludf.DUMMYFUNCTION("""COMPUTED_VALUE"""),"MUNICIPALIDAD DISTRITAL DE HUANCHACO")</f>
        <v>MUNICIPALIDAD DISTRITAL DE HUANCHACO</v>
      </c>
      <c r="D1271" s="25" t="str">
        <f ca="1">IFERROR(__xludf.DUMMYFUNCTION("""COMPUTED_VALUE"""),"LA LIBERTAD")</f>
        <v>LA LIBERTAD</v>
      </c>
      <c r="E1271" s="25" t="str">
        <f ca="1">IFERROR(__xludf.DUMMYFUNCTION("""COMPUTED_VALUE"""),"LA LIBERTAD")</f>
        <v>LA LIBERTAD</v>
      </c>
      <c r="F1271" s="25" t="str">
        <f ca="1">IFERROR(__xludf.DUMMYFUNCTION("""COMPUTED_VALUE"""),"TRUJILLO")</f>
        <v>TRUJILLO</v>
      </c>
      <c r="G1271" s="25" t="str">
        <f ca="1">IFERROR(__xludf.DUMMYFUNCTION("""COMPUTED_VALUE"""),"HUANCHACO")</f>
        <v>HUANCHACO</v>
      </c>
      <c r="H1271" s="25" t="str">
        <f ca="1">IFERROR(__xludf.DUMMYFUNCTION("""COMPUTED_VALUE"""),"URBANO")</f>
        <v>URBANO</v>
      </c>
      <c r="I1271" s="25" t="str">
        <f ca="1">IFERROR(__xludf.DUMMYFUNCTION("""COMPUTED_VALUE"""),"Prioridad 1")</f>
        <v>Prioridad 1</v>
      </c>
      <c r="J1271" s="43" t="s">
        <v>261</v>
      </c>
    </row>
    <row r="1272" spans="2:10">
      <c r="B1272" s="25" t="str">
        <f ca="1">IFERROR(__xludf.DUMMYFUNCTION("""COMPUTED_VALUE"""),"MUNICIPALIDAD DISTRITAL")</f>
        <v>MUNICIPALIDAD DISTRITAL</v>
      </c>
      <c r="C1272" s="25" t="str">
        <f ca="1">IFERROR(__xludf.DUMMYFUNCTION("""COMPUTED_VALUE"""),"MUNICIPALIDAD DISTRITAL DE SIMBAL")</f>
        <v>MUNICIPALIDAD DISTRITAL DE SIMBAL</v>
      </c>
      <c r="D1272" s="25" t="str">
        <f ca="1">IFERROR(__xludf.DUMMYFUNCTION("""COMPUTED_VALUE"""),"LA LIBERTAD")</f>
        <v>LA LIBERTAD</v>
      </c>
      <c r="E1272" s="25" t="str">
        <f ca="1">IFERROR(__xludf.DUMMYFUNCTION("""COMPUTED_VALUE"""),"LA LIBERTAD")</f>
        <v>LA LIBERTAD</v>
      </c>
      <c r="F1272" s="25" t="str">
        <f ca="1">IFERROR(__xludf.DUMMYFUNCTION("""COMPUTED_VALUE"""),"TRUJILLO")</f>
        <v>TRUJILLO</v>
      </c>
      <c r="G1272" s="25" t="str">
        <f ca="1">IFERROR(__xludf.DUMMYFUNCTION("""COMPUTED_VALUE"""),"SIMBAL")</f>
        <v>SIMBAL</v>
      </c>
      <c r="H1272" s="25" t="str">
        <f ca="1">IFERROR(__xludf.DUMMYFUNCTION("""COMPUTED_VALUE"""),"RURAL")</f>
        <v>RURAL</v>
      </c>
      <c r="I1272" s="25" t="str">
        <f ca="1">IFERROR(__xludf.DUMMYFUNCTION("""COMPUTED_VALUE"""),"Prioridad 3")</f>
        <v>Prioridad 3</v>
      </c>
      <c r="J1272" s="43" t="s">
        <v>261</v>
      </c>
    </row>
    <row r="1273" spans="2:10">
      <c r="B1273" s="25" t="str">
        <f ca="1">IFERROR(__xludf.DUMMYFUNCTION("""COMPUTED_VALUE"""),"MUNICIPALIDAD DISTRITAL")</f>
        <v>MUNICIPALIDAD DISTRITAL</v>
      </c>
      <c r="C1273" s="25" t="str">
        <f ca="1">IFERROR(__xludf.DUMMYFUNCTION("""COMPUTED_VALUE"""),"MUNICIPALIDAD DISTRITAL DE POROTO")</f>
        <v>MUNICIPALIDAD DISTRITAL DE POROTO</v>
      </c>
      <c r="D1273" s="25" t="str">
        <f ca="1">IFERROR(__xludf.DUMMYFUNCTION("""COMPUTED_VALUE"""),"LA LIBERTAD")</f>
        <v>LA LIBERTAD</v>
      </c>
      <c r="E1273" s="25" t="str">
        <f ca="1">IFERROR(__xludf.DUMMYFUNCTION("""COMPUTED_VALUE"""),"LA LIBERTAD")</f>
        <v>LA LIBERTAD</v>
      </c>
      <c r="F1273" s="25" t="str">
        <f ca="1">IFERROR(__xludf.DUMMYFUNCTION("""COMPUTED_VALUE"""),"TRUJILLO")</f>
        <v>TRUJILLO</v>
      </c>
      <c r="G1273" s="25" t="str">
        <f ca="1">IFERROR(__xludf.DUMMYFUNCTION("""COMPUTED_VALUE"""),"POROTO")</f>
        <v>POROTO</v>
      </c>
      <c r="H1273" s="25" t="str">
        <f ca="1">IFERROR(__xludf.DUMMYFUNCTION("""COMPUTED_VALUE"""),"RURAL")</f>
        <v>RURAL</v>
      </c>
      <c r="I1273" s="25" t="str">
        <f ca="1">IFERROR(__xludf.DUMMYFUNCTION("""COMPUTED_VALUE"""),"Prioridad 4")</f>
        <v>Prioridad 4</v>
      </c>
      <c r="J1273" s="43" t="s">
        <v>261</v>
      </c>
    </row>
    <row r="1274" spans="2:10">
      <c r="B1274" s="25" t="str">
        <f ca="1">IFERROR(__xludf.DUMMYFUNCTION("""COMPUTED_VALUE"""),"MUNICIPALIDAD DISTRITAL")</f>
        <v>MUNICIPALIDAD DISTRITAL</v>
      </c>
      <c r="C1274" s="25" t="str">
        <f ca="1">IFERROR(__xludf.DUMMYFUNCTION("""COMPUTED_VALUE"""),"MUNICIPALIDAD DISTRITAL DE FLORENCIA DE MORA")</f>
        <v>MUNICIPALIDAD DISTRITAL DE FLORENCIA DE MORA</v>
      </c>
      <c r="D1274" s="25" t="str">
        <f ca="1">IFERROR(__xludf.DUMMYFUNCTION("""COMPUTED_VALUE"""),"LA LIBERTAD")</f>
        <v>LA LIBERTAD</v>
      </c>
      <c r="E1274" s="25" t="str">
        <f ca="1">IFERROR(__xludf.DUMMYFUNCTION("""COMPUTED_VALUE"""),"LA LIBERTAD")</f>
        <v>LA LIBERTAD</v>
      </c>
      <c r="F1274" s="25" t="str">
        <f ca="1">IFERROR(__xludf.DUMMYFUNCTION("""COMPUTED_VALUE"""),"TRUJILLO")</f>
        <v>TRUJILLO</v>
      </c>
      <c r="G1274" s="25" t="str">
        <f ca="1">IFERROR(__xludf.DUMMYFUNCTION("""COMPUTED_VALUE"""),"FLORENCIA DE MORA")</f>
        <v>FLORENCIA DE MORA</v>
      </c>
      <c r="H1274" s="25" t="str">
        <f ca="1">IFERROR(__xludf.DUMMYFUNCTION("""COMPUTED_VALUE"""),"URBANO")</f>
        <v>URBANO</v>
      </c>
      <c r="I1274" s="25" t="str">
        <f ca="1">IFERROR(__xludf.DUMMYFUNCTION("""COMPUTED_VALUE"""),"Prioridad 1")</f>
        <v>Prioridad 1</v>
      </c>
      <c r="J1274" s="43" t="s">
        <v>261</v>
      </c>
    </row>
    <row r="1275" spans="2:10">
      <c r="B1275" s="25" t="str">
        <f ca="1">IFERROR(__xludf.DUMMYFUNCTION("""COMPUTED_VALUE"""),"MUNICIPALIDAD DISTRITAL")</f>
        <v>MUNICIPALIDAD DISTRITAL</v>
      </c>
      <c r="C1275" s="25" t="str">
        <f ca="1">IFERROR(__xludf.DUMMYFUNCTION("""COMPUTED_VALUE"""),"MUNICIPALIDAD DISTRITAL DE ALTO TRUJILLO")</f>
        <v>MUNICIPALIDAD DISTRITAL DE ALTO TRUJILLO</v>
      </c>
      <c r="D1275" s="25" t="str">
        <f ca="1">IFERROR(__xludf.DUMMYFUNCTION("""COMPUTED_VALUE"""),"LA LIBERTAD")</f>
        <v>LA LIBERTAD</v>
      </c>
      <c r="E1275" s="25" t="str">
        <f ca="1">IFERROR(__xludf.DUMMYFUNCTION("""COMPUTED_VALUE"""),"LA LIBERTAD")</f>
        <v>LA LIBERTAD</v>
      </c>
      <c r="F1275" s="25" t="str">
        <f ca="1">IFERROR(__xludf.DUMMYFUNCTION("""COMPUTED_VALUE"""),"TRUJILLO")</f>
        <v>TRUJILLO</v>
      </c>
      <c r="G1275" s="25" t="str">
        <f ca="1">IFERROR(__xludf.DUMMYFUNCTION("""COMPUTED_VALUE"""),"ALTO TRUJILLO")</f>
        <v>ALTO TRUJILLO</v>
      </c>
      <c r="H1275" s="25" t="str">
        <f ca="1">IFERROR(__xludf.DUMMYFUNCTION("""COMPUTED_VALUE"""),"RURAL")</f>
        <v>RURAL</v>
      </c>
      <c r="I1275" s="25" t="str">
        <f ca="1">IFERROR(__xludf.DUMMYFUNCTION("""COMPUTED_VALUE"""),"Prioridad 5")</f>
        <v>Prioridad 5</v>
      </c>
      <c r="J1275" s="43" t="s">
        <v>261</v>
      </c>
    </row>
    <row r="1276" spans="2:10">
      <c r="B1276" s="25" t="str">
        <f ca="1">IFERROR(__xludf.DUMMYFUNCTION("""COMPUTED_VALUE"""),"GOBIERNO REGIONAL")</f>
        <v>GOBIERNO REGIONAL</v>
      </c>
      <c r="C1276" s="25" t="str">
        <f ca="1">IFERROR(__xludf.DUMMYFUNCTION("""COMPUTED_VALUE"""),"GOBIERNO REGIONAL DE LA LIBERTAD")</f>
        <v>GOBIERNO REGIONAL DE LA LIBERTAD</v>
      </c>
      <c r="D1276" s="25" t="str">
        <f ca="1">IFERROR(__xludf.DUMMYFUNCTION("""COMPUTED_VALUE"""),"LA LIBERTAD")</f>
        <v>LA LIBERTAD</v>
      </c>
      <c r="E1276" s="25" t="str">
        <f ca="1">IFERROR(__xludf.DUMMYFUNCTION("""COMPUTED_VALUE"""),"LA LIBERTAD")</f>
        <v>LA LIBERTAD</v>
      </c>
      <c r="F1276" s="25" t="str">
        <f ca="1">IFERROR(__xludf.DUMMYFUNCTION("""COMPUTED_VALUE"""),"TRUJILLO")</f>
        <v>TRUJILLO</v>
      </c>
      <c r="G1276" s="25" t="str">
        <f ca="1">IFERROR(__xludf.DUMMYFUNCTION("""COMPUTED_VALUE"""),"TRUJILLO")</f>
        <v>TRUJILLO</v>
      </c>
      <c r="H1276" s="25" t="str">
        <f ca="1">IFERROR(__xludf.DUMMYFUNCTION("""COMPUTED_VALUE"""),"URBANO")</f>
        <v>URBANO</v>
      </c>
      <c r="I1276" s="25" t="str">
        <f ca="1">IFERROR(__xludf.DUMMYFUNCTION("""COMPUTED_VALUE"""),"Prioridad 1")</f>
        <v>Prioridad 1</v>
      </c>
      <c r="J1276" s="43" t="s">
        <v>261</v>
      </c>
    </row>
    <row r="1277" spans="2:10">
      <c r="B1277" s="25" t="str">
        <f ca="1">IFERROR(__xludf.DUMMYFUNCTION("""COMPUTED_VALUE"""),"OTROS")</f>
        <v>OTROS</v>
      </c>
      <c r="C1277" s="25" t="str">
        <f ca="1">IFERROR(__xludf.DUMMYFUNCTION("""COMPUTED_VALUE"""),"INSTITUTO SUPERIOR DE MÚSICA PÚBLICO ACOLLA-JAUJA-JUNÍN")</f>
        <v>INSTITUTO SUPERIOR DE MÚSICA PÚBLICO ACOLLA-JAUJA-JUNÍN</v>
      </c>
      <c r="D1277" s="25" t="str">
        <f ca="1">IFERROR(__xludf.DUMMYFUNCTION("""COMPUTED_VALUE"""),"JUNÍN")</f>
        <v>JUNÍN</v>
      </c>
      <c r="E1277" s="25" t="str">
        <f ca="1">IFERROR(__xludf.DUMMYFUNCTION("""COMPUTED_VALUE"""),"JUNÍN")</f>
        <v>JUNÍN</v>
      </c>
      <c r="F1277" s="25" t="str">
        <f ca="1">IFERROR(__xludf.DUMMYFUNCTION("""COMPUTED_VALUE"""),"JAUJA")</f>
        <v>JAUJA</v>
      </c>
      <c r="G1277" s="25" t="str">
        <f ca="1">IFERROR(__xludf.DUMMYFUNCTION("""COMPUTED_VALUE"""),"JUNIN")</f>
        <v>JUNIN</v>
      </c>
      <c r="H1277" s="25"/>
      <c r="I1277" s="25" t="str">
        <f ca="1">IFERROR(__xludf.DUMMYFUNCTION("""COMPUTED_VALUE"""),"Prioridad 5")</f>
        <v>Prioridad 5</v>
      </c>
      <c r="J1277" s="43" t="s">
        <v>261</v>
      </c>
    </row>
    <row r="1278" spans="2:10">
      <c r="B1278" s="25" t="str">
        <f ca="1">IFERROR(__xludf.DUMMYFUNCTION("""COMPUTED_VALUE"""),"MUNICIPALIDAD PROVINCIAL")</f>
        <v>MUNICIPALIDAD PROVINCIAL</v>
      </c>
      <c r="C1278" s="25" t="str">
        <f ca="1">IFERROR(__xludf.DUMMYFUNCTION("""COMPUTED_VALUE"""),"MUNICIPALIDAD PROVINCIAL DE VIRU")</f>
        <v>MUNICIPALIDAD PROVINCIAL DE VIRU</v>
      </c>
      <c r="D1278" s="25" t="str">
        <f ca="1">IFERROR(__xludf.DUMMYFUNCTION("""COMPUTED_VALUE"""),"LA LIBERTAD")</f>
        <v>LA LIBERTAD</v>
      </c>
      <c r="E1278" s="25" t="str">
        <f ca="1">IFERROR(__xludf.DUMMYFUNCTION("""COMPUTED_VALUE"""),"LA LIBERTAD")</f>
        <v>LA LIBERTAD</v>
      </c>
      <c r="F1278" s="25" t="str">
        <f ca="1">IFERROR(__xludf.DUMMYFUNCTION("""COMPUTED_VALUE"""),"VIRU")</f>
        <v>VIRU</v>
      </c>
      <c r="G1278" s="25" t="str">
        <f ca="1">IFERROR(__xludf.DUMMYFUNCTION("""COMPUTED_VALUE"""),"VIRU")</f>
        <v>VIRU</v>
      </c>
      <c r="H1278" s="25" t="str">
        <f ca="1">IFERROR(__xludf.DUMMYFUNCTION("""COMPUTED_VALUE"""),"URBANO")</f>
        <v>URBANO</v>
      </c>
      <c r="I1278" s="25" t="str">
        <f ca="1">IFERROR(__xludf.DUMMYFUNCTION("""COMPUTED_VALUE"""),"Prioridad 1")</f>
        <v>Prioridad 1</v>
      </c>
      <c r="J1278" s="43" t="s">
        <v>261</v>
      </c>
    </row>
    <row r="1279" spans="2:10">
      <c r="B1279" s="25" t="str">
        <f ca="1">IFERROR(__xludf.DUMMYFUNCTION("""COMPUTED_VALUE"""),"MUNICIPALIDAD DISTRITAL")</f>
        <v>MUNICIPALIDAD DISTRITAL</v>
      </c>
      <c r="C1279" s="25" t="str">
        <f ca="1">IFERROR(__xludf.DUMMYFUNCTION("""COMPUTED_VALUE"""),"MUNICIPALIDAD DISTRITAL DE CHAO")</f>
        <v>MUNICIPALIDAD DISTRITAL DE CHAO</v>
      </c>
      <c r="D1279" s="25" t="str">
        <f ca="1">IFERROR(__xludf.DUMMYFUNCTION("""COMPUTED_VALUE"""),"LA LIBERTAD")</f>
        <v>LA LIBERTAD</v>
      </c>
      <c r="E1279" s="25" t="str">
        <f ca="1">IFERROR(__xludf.DUMMYFUNCTION("""COMPUTED_VALUE"""),"LA LIBERTAD")</f>
        <v>LA LIBERTAD</v>
      </c>
      <c r="F1279" s="25" t="str">
        <f ca="1">IFERROR(__xludf.DUMMYFUNCTION("""COMPUTED_VALUE"""),"VIRU")</f>
        <v>VIRU</v>
      </c>
      <c r="G1279" s="25" t="str">
        <f ca="1">IFERROR(__xludf.DUMMYFUNCTION("""COMPUTED_VALUE"""),"CHAO")</f>
        <v>CHAO</v>
      </c>
      <c r="H1279" s="25" t="str">
        <f ca="1">IFERROR(__xludf.DUMMYFUNCTION("""COMPUTED_VALUE"""),"URBANO")</f>
        <v>URBANO</v>
      </c>
      <c r="I1279" s="25" t="str">
        <f ca="1">IFERROR(__xludf.DUMMYFUNCTION("""COMPUTED_VALUE"""),"Prioridad 2")</f>
        <v>Prioridad 2</v>
      </c>
      <c r="J1279" s="43" t="s">
        <v>261</v>
      </c>
    </row>
    <row r="1280" spans="2:10">
      <c r="B1280" s="25" t="str">
        <f ca="1">IFERROR(__xludf.DUMMYFUNCTION("""COMPUTED_VALUE"""),"MUNICIPALIDAD DISTRITAL")</f>
        <v>MUNICIPALIDAD DISTRITAL</v>
      </c>
      <c r="C1280" s="25" t="str">
        <f ca="1">IFERROR(__xludf.DUMMYFUNCTION("""COMPUTED_VALUE"""),"MUNICIPALIDAD DISTRITAL DE GUADALUPITO")</f>
        <v>MUNICIPALIDAD DISTRITAL DE GUADALUPITO</v>
      </c>
      <c r="D1280" s="25" t="str">
        <f ca="1">IFERROR(__xludf.DUMMYFUNCTION("""COMPUTED_VALUE"""),"LA LIBERTAD")</f>
        <v>LA LIBERTAD</v>
      </c>
      <c r="E1280" s="25" t="str">
        <f ca="1">IFERROR(__xludf.DUMMYFUNCTION("""COMPUTED_VALUE"""),"LA LIBERTAD")</f>
        <v>LA LIBERTAD</v>
      </c>
      <c r="F1280" s="25" t="str">
        <f ca="1">IFERROR(__xludf.DUMMYFUNCTION("""COMPUTED_VALUE"""),"VIRU")</f>
        <v>VIRU</v>
      </c>
      <c r="G1280" s="25" t="str">
        <f ca="1">IFERROR(__xludf.DUMMYFUNCTION("""COMPUTED_VALUE"""),"GUADALUPITO")</f>
        <v>GUADALUPITO</v>
      </c>
      <c r="H1280" s="25" t="str">
        <f ca="1">IFERROR(__xludf.DUMMYFUNCTION("""COMPUTED_VALUE"""),"URBANO")</f>
        <v>URBANO</v>
      </c>
      <c r="I1280" s="25" t="str">
        <f ca="1">IFERROR(__xludf.DUMMYFUNCTION("""COMPUTED_VALUE"""),"Prioridad 4")</f>
        <v>Prioridad 4</v>
      </c>
      <c r="J1280" s="43" t="s">
        <v>261</v>
      </c>
    </row>
    <row r="1281" spans="2:10">
      <c r="B1281" s="25" t="str">
        <f ca="1">IFERROR(__xludf.DUMMYFUNCTION("""COMPUTED_VALUE"""),"MUNICIPALIDAD PROVINCIAL")</f>
        <v>MUNICIPALIDAD PROVINCIAL</v>
      </c>
      <c r="C1281" s="25" t="str">
        <f ca="1">IFERROR(__xludf.DUMMYFUNCTION("""COMPUTED_VALUE"""),"MUNICIPALIDAD PROVINCIAL DE CHICLAYO")</f>
        <v>MUNICIPALIDAD PROVINCIAL DE CHICLAYO</v>
      </c>
      <c r="D1281" s="25" t="str">
        <f ca="1">IFERROR(__xludf.DUMMYFUNCTION("""COMPUTED_VALUE"""),"LAMBAYEQUE")</f>
        <v>LAMBAYEQUE</v>
      </c>
      <c r="E1281" s="25" t="str">
        <f ca="1">IFERROR(__xludf.DUMMYFUNCTION("""COMPUTED_VALUE"""),"LAMBAYEQUE")</f>
        <v>LAMBAYEQUE</v>
      </c>
      <c r="F1281" s="25" t="str">
        <f ca="1">IFERROR(__xludf.DUMMYFUNCTION("""COMPUTED_VALUE"""),"CHICLAYO")</f>
        <v>CHICLAYO</v>
      </c>
      <c r="G1281" s="25" t="str">
        <f ca="1">IFERROR(__xludf.DUMMYFUNCTION("""COMPUTED_VALUE"""),"CHICLAYO")</f>
        <v>CHICLAYO</v>
      </c>
      <c r="H1281" s="25" t="str">
        <f ca="1">IFERROR(__xludf.DUMMYFUNCTION("""COMPUTED_VALUE"""),"URBANO")</f>
        <v>URBANO</v>
      </c>
      <c r="I1281" s="25" t="str">
        <f ca="1">IFERROR(__xludf.DUMMYFUNCTION("""COMPUTED_VALUE"""),"Prioridad 1")</f>
        <v>Prioridad 1</v>
      </c>
      <c r="J1281" s="43" t="s">
        <v>261</v>
      </c>
    </row>
    <row r="1282" spans="2:10">
      <c r="B1282" s="25" t="str">
        <f ca="1">IFERROR(__xludf.DUMMYFUNCTION("""COMPUTED_VALUE"""),"MUNICIPALIDAD DISTRITAL")</f>
        <v>MUNICIPALIDAD DISTRITAL</v>
      </c>
      <c r="C1282" s="25" t="str">
        <f ca="1">IFERROR(__xludf.DUMMYFUNCTION("""COMPUTED_VALUE"""),"MUNICIPALIDAD DISTRITAL DE JOSE LEONARDO ORTIZ")</f>
        <v>MUNICIPALIDAD DISTRITAL DE JOSE LEONARDO ORTIZ</v>
      </c>
      <c r="D1282" s="25" t="str">
        <f ca="1">IFERROR(__xludf.DUMMYFUNCTION("""COMPUTED_VALUE"""),"LAMBAYEQUE")</f>
        <v>LAMBAYEQUE</v>
      </c>
      <c r="E1282" s="25" t="str">
        <f ca="1">IFERROR(__xludf.DUMMYFUNCTION("""COMPUTED_VALUE"""),"LAMBAYEQUE")</f>
        <v>LAMBAYEQUE</v>
      </c>
      <c r="F1282" s="25" t="str">
        <f ca="1">IFERROR(__xludf.DUMMYFUNCTION("""COMPUTED_VALUE"""),"CHICLAYO")</f>
        <v>CHICLAYO</v>
      </c>
      <c r="G1282" s="25" t="str">
        <f ca="1">IFERROR(__xludf.DUMMYFUNCTION("""COMPUTED_VALUE"""),"JOSE LEONARDO ORTIZ")</f>
        <v>JOSE LEONARDO ORTIZ</v>
      </c>
      <c r="H1282" s="25" t="str">
        <f ca="1">IFERROR(__xludf.DUMMYFUNCTION("""COMPUTED_VALUE"""),"URBANO")</f>
        <v>URBANO</v>
      </c>
      <c r="I1282" s="25" t="str">
        <f ca="1">IFERROR(__xludf.DUMMYFUNCTION("""COMPUTED_VALUE"""),"Prioridad 2")</f>
        <v>Prioridad 2</v>
      </c>
      <c r="J1282" s="43" t="s">
        <v>261</v>
      </c>
    </row>
    <row r="1283" spans="2:10">
      <c r="B1283" s="25" t="str">
        <f ca="1">IFERROR(__xludf.DUMMYFUNCTION("""COMPUTED_VALUE"""),"MUNICIPALIDAD DISTRITAL")</f>
        <v>MUNICIPALIDAD DISTRITAL</v>
      </c>
      <c r="C1283" s="25" t="str">
        <f ca="1">IFERROR(__xludf.DUMMYFUNCTION("""COMPUTED_VALUE"""),"MUNICIPALIDAD DISTRITAL DE LA VICTORIA EN CHICLAYO")</f>
        <v>MUNICIPALIDAD DISTRITAL DE LA VICTORIA EN CHICLAYO</v>
      </c>
      <c r="D1283" s="25" t="str">
        <f ca="1">IFERROR(__xludf.DUMMYFUNCTION("""COMPUTED_VALUE"""),"LAMBAYEQUE")</f>
        <v>LAMBAYEQUE</v>
      </c>
      <c r="E1283" s="25" t="str">
        <f ca="1">IFERROR(__xludf.DUMMYFUNCTION("""COMPUTED_VALUE"""),"LAMBAYEQUE")</f>
        <v>LAMBAYEQUE</v>
      </c>
      <c r="F1283" s="25" t="str">
        <f ca="1">IFERROR(__xludf.DUMMYFUNCTION("""COMPUTED_VALUE"""),"CHICLAYO")</f>
        <v>CHICLAYO</v>
      </c>
      <c r="G1283" s="25" t="str">
        <f ca="1">IFERROR(__xludf.DUMMYFUNCTION("""COMPUTED_VALUE"""),"LA VICTORIA")</f>
        <v>LA VICTORIA</v>
      </c>
      <c r="H1283" s="25" t="str">
        <f ca="1">IFERROR(__xludf.DUMMYFUNCTION("""COMPUTED_VALUE"""),"URBANO")</f>
        <v>URBANO</v>
      </c>
      <c r="I1283" s="25" t="str">
        <f ca="1">IFERROR(__xludf.DUMMYFUNCTION("""COMPUTED_VALUE"""),"Prioridad 1")</f>
        <v>Prioridad 1</v>
      </c>
      <c r="J1283" s="43" t="s">
        <v>261</v>
      </c>
    </row>
    <row r="1284" spans="2:10">
      <c r="B1284" s="25" t="str">
        <f ca="1">IFERROR(__xludf.DUMMYFUNCTION("""COMPUTED_VALUE"""),"MUNICIPALIDAD DISTRITAL")</f>
        <v>MUNICIPALIDAD DISTRITAL</v>
      </c>
      <c r="C1284" s="25" t="str">
        <f ca="1">IFERROR(__xludf.DUMMYFUNCTION("""COMPUTED_VALUE"""),"MUNICIPALIDAD DISTRITAL DE MONSEFU")</f>
        <v>MUNICIPALIDAD DISTRITAL DE MONSEFU</v>
      </c>
      <c r="D1284" s="25" t="str">
        <f ca="1">IFERROR(__xludf.DUMMYFUNCTION("""COMPUTED_VALUE"""),"LAMBAYEQUE")</f>
        <v>LAMBAYEQUE</v>
      </c>
      <c r="E1284" s="25" t="str">
        <f ca="1">IFERROR(__xludf.DUMMYFUNCTION("""COMPUTED_VALUE"""),"LAMBAYEQUE")</f>
        <v>LAMBAYEQUE</v>
      </c>
      <c r="F1284" s="25" t="str">
        <f ca="1">IFERROR(__xludf.DUMMYFUNCTION("""COMPUTED_VALUE"""),"CHICLAYO")</f>
        <v>CHICLAYO</v>
      </c>
      <c r="G1284" s="25" t="str">
        <f ca="1">IFERROR(__xludf.DUMMYFUNCTION("""COMPUTED_VALUE"""),"MONSEFU")</f>
        <v>MONSEFU</v>
      </c>
      <c r="H1284" s="25" t="str">
        <f ca="1">IFERROR(__xludf.DUMMYFUNCTION("""COMPUTED_VALUE"""),"URBANO")</f>
        <v>URBANO</v>
      </c>
      <c r="I1284" s="25" t="str">
        <f ca="1">IFERROR(__xludf.DUMMYFUNCTION("""COMPUTED_VALUE"""),"Prioridad 2")</f>
        <v>Prioridad 2</v>
      </c>
      <c r="J1284" s="43" t="s">
        <v>261</v>
      </c>
    </row>
    <row r="1285" spans="2:10">
      <c r="B1285" s="25" t="str">
        <f ca="1">IFERROR(__xludf.DUMMYFUNCTION("""COMPUTED_VALUE"""),"COLEGIO PROFESIONAL")</f>
        <v>COLEGIO PROFESIONAL</v>
      </c>
      <c r="C1285" s="25" t="str">
        <f ca="1">IFERROR(__xludf.DUMMYFUNCTION("""COMPUTED_VALUE"""),"COLEGIO DE ABOGADO DE AMAZONAS")</f>
        <v>COLEGIO DE ABOGADO DE AMAZONAS</v>
      </c>
      <c r="D1285" s="25" t="str">
        <f ca="1">IFERROR(__xludf.DUMMYFUNCTION("""COMPUTED_VALUE"""),"LAMBAYEQUE")</f>
        <v>LAMBAYEQUE</v>
      </c>
      <c r="E1285" s="25" t="str">
        <f ca="1">IFERROR(__xludf.DUMMYFUNCTION("""COMPUTED_VALUE"""),"AMAZONAS")</f>
        <v>AMAZONAS</v>
      </c>
      <c r="F1285" s="25" t="str">
        <f ca="1">IFERROR(__xludf.DUMMYFUNCTION("""COMPUTED_VALUE"""),"CHACHAPOYAS")</f>
        <v>CHACHAPOYAS</v>
      </c>
      <c r="G1285" s="25" t="str">
        <f ca="1">IFERROR(__xludf.DUMMYFUNCTION("""COMPUTED_VALUE"""),"CHACHAPOYAS")</f>
        <v>CHACHAPOYAS</v>
      </c>
      <c r="H1285" s="25"/>
      <c r="I1285" s="25" t="str">
        <f ca="1">IFERROR(__xludf.DUMMYFUNCTION("""COMPUTED_VALUE"""),"Prioridad 4")</f>
        <v>Prioridad 4</v>
      </c>
      <c r="J1285" s="43" t="s">
        <v>261</v>
      </c>
    </row>
    <row r="1286" spans="2:10">
      <c r="B1286" s="25" t="str">
        <f ca="1">IFERROR(__xludf.DUMMYFUNCTION("""COMPUTED_VALUE"""),"MUNICIPALIDAD DISTRITAL")</f>
        <v>MUNICIPALIDAD DISTRITAL</v>
      </c>
      <c r="C1286" s="25" t="str">
        <f ca="1">IFERROR(__xludf.DUMMYFUNCTION("""COMPUTED_VALUE"""),"MUNICIPALIDAD DISTRITAL DE PIMENTEL")</f>
        <v>MUNICIPALIDAD DISTRITAL DE PIMENTEL</v>
      </c>
      <c r="D1286" s="25" t="str">
        <f ca="1">IFERROR(__xludf.DUMMYFUNCTION("""COMPUTED_VALUE"""),"LAMBAYEQUE")</f>
        <v>LAMBAYEQUE</v>
      </c>
      <c r="E1286" s="25" t="str">
        <f ca="1">IFERROR(__xludf.DUMMYFUNCTION("""COMPUTED_VALUE"""),"LAMBAYEQUE")</f>
        <v>LAMBAYEQUE</v>
      </c>
      <c r="F1286" s="25" t="str">
        <f ca="1">IFERROR(__xludf.DUMMYFUNCTION("""COMPUTED_VALUE"""),"CHICLAYO")</f>
        <v>CHICLAYO</v>
      </c>
      <c r="G1286" s="25" t="str">
        <f ca="1">IFERROR(__xludf.DUMMYFUNCTION("""COMPUTED_VALUE"""),"PIMENTEL")</f>
        <v>PIMENTEL</v>
      </c>
      <c r="H1286" s="25" t="str">
        <f ca="1">IFERROR(__xludf.DUMMYFUNCTION("""COMPUTED_VALUE"""),"URBANO")</f>
        <v>URBANO</v>
      </c>
      <c r="I1286" s="25" t="str">
        <f ca="1">IFERROR(__xludf.DUMMYFUNCTION("""COMPUTED_VALUE"""),"Prioridad 1")</f>
        <v>Prioridad 1</v>
      </c>
      <c r="J1286" s="43" t="s">
        <v>261</v>
      </c>
    </row>
    <row r="1287" spans="2:10">
      <c r="B1287" s="25" t="str">
        <f ca="1">IFERROR(__xludf.DUMMYFUNCTION("""COMPUTED_VALUE"""),"MUNICIPALIDAD DISTRITAL")</f>
        <v>MUNICIPALIDAD DISTRITAL</v>
      </c>
      <c r="C1287" s="25" t="str">
        <f ca="1">IFERROR(__xludf.DUMMYFUNCTION("""COMPUTED_VALUE"""),"MUNICIPALIDAD DISTRITAL DE POMALCA")</f>
        <v>MUNICIPALIDAD DISTRITAL DE POMALCA</v>
      </c>
      <c r="D1287" s="25" t="str">
        <f ca="1">IFERROR(__xludf.DUMMYFUNCTION("""COMPUTED_VALUE"""),"LAMBAYEQUE")</f>
        <v>LAMBAYEQUE</v>
      </c>
      <c r="E1287" s="25" t="str">
        <f ca="1">IFERROR(__xludf.DUMMYFUNCTION("""COMPUTED_VALUE"""),"LAMBAYEQUE")</f>
        <v>LAMBAYEQUE</v>
      </c>
      <c r="F1287" s="25" t="str">
        <f ca="1">IFERROR(__xludf.DUMMYFUNCTION("""COMPUTED_VALUE"""),"CHICLAYO")</f>
        <v>CHICLAYO</v>
      </c>
      <c r="G1287" s="25" t="str">
        <f ca="1">IFERROR(__xludf.DUMMYFUNCTION("""COMPUTED_VALUE"""),"POMALCA")</f>
        <v>POMALCA</v>
      </c>
      <c r="H1287" s="25" t="str">
        <f ca="1">IFERROR(__xludf.DUMMYFUNCTION("""COMPUTED_VALUE"""),"URBANO")</f>
        <v>URBANO</v>
      </c>
      <c r="I1287" s="25" t="str">
        <f ca="1">IFERROR(__xludf.DUMMYFUNCTION("""COMPUTED_VALUE"""),"Prioridad 3")</f>
        <v>Prioridad 3</v>
      </c>
      <c r="J1287" s="43" t="s">
        <v>261</v>
      </c>
    </row>
    <row r="1288" spans="2:10">
      <c r="B1288" s="25" t="str">
        <f ca="1">IFERROR(__xludf.DUMMYFUNCTION("""COMPUTED_VALUE"""),"MUNICIPALIDAD DISTRITAL")</f>
        <v>MUNICIPALIDAD DISTRITAL</v>
      </c>
      <c r="C1288" s="25" t="str">
        <f ca="1">IFERROR(__xludf.DUMMYFUNCTION("""COMPUTED_VALUE"""),"MUNICIPALIDAD DISTRITAL DE TUMAN")</f>
        <v>MUNICIPALIDAD DISTRITAL DE TUMAN</v>
      </c>
      <c r="D1288" s="25" t="str">
        <f ca="1">IFERROR(__xludf.DUMMYFUNCTION("""COMPUTED_VALUE"""),"LAMBAYEQUE")</f>
        <v>LAMBAYEQUE</v>
      </c>
      <c r="E1288" s="25" t="str">
        <f ca="1">IFERROR(__xludf.DUMMYFUNCTION("""COMPUTED_VALUE"""),"LAMBAYEQUE")</f>
        <v>LAMBAYEQUE</v>
      </c>
      <c r="F1288" s="25" t="str">
        <f ca="1">IFERROR(__xludf.DUMMYFUNCTION("""COMPUTED_VALUE"""),"CHICLAYO")</f>
        <v>CHICLAYO</v>
      </c>
      <c r="G1288" s="25" t="str">
        <f ca="1">IFERROR(__xludf.DUMMYFUNCTION("""COMPUTED_VALUE"""),"TUMAN")</f>
        <v>TUMAN</v>
      </c>
      <c r="H1288" s="25" t="str">
        <f ca="1">IFERROR(__xludf.DUMMYFUNCTION("""COMPUTED_VALUE"""),"URBANO")</f>
        <v>URBANO</v>
      </c>
      <c r="I1288" s="25" t="str">
        <f ca="1">IFERROR(__xludf.DUMMYFUNCTION("""COMPUTED_VALUE"""),"Prioridad 2")</f>
        <v>Prioridad 2</v>
      </c>
      <c r="J1288" s="43" t="s">
        <v>261</v>
      </c>
    </row>
    <row r="1289" spans="2:10">
      <c r="B1289" s="25" t="str">
        <f ca="1">IFERROR(__xludf.DUMMYFUNCTION("""COMPUTED_VALUE"""),"MUNICIPALIDAD DISTRITAL")</f>
        <v>MUNICIPALIDAD DISTRITAL</v>
      </c>
      <c r="C1289" s="25" t="str">
        <f ca="1">IFERROR(__xludf.DUMMYFUNCTION("""COMPUTED_VALUE"""),"MUNICIPALIDAD DISTRITAL DE CHONGOYAPE")</f>
        <v>MUNICIPALIDAD DISTRITAL DE CHONGOYAPE</v>
      </c>
      <c r="D1289" s="25" t="str">
        <f ca="1">IFERROR(__xludf.DUMMYFUNCTION("""COMPUTED_VALUE"""),"LAMBAYEQUE")</f>
        <v>LAMBAYEQUE</v>
      </c>
      <c r="E1289" s="25" t="str">
        <f ca="1">IFERROR(__xludf.DUMMYFUNCTION("""COMPUTED_VALUE"""),"LAMBAYEQUE")</f>
        <v>LAMBAYEQUE</v>
      </c>
      <c r="F1289" s="25" t="str">
        <f ca="1">IFERROR(__xludf.DUMMYFUNCTION("""COMPUTED_VALUE"""),"CHICLAYO")</f>
        <v>CHICLAYO</v>
      </c>
      <c r="G1289" s="25" t="str">
        <f ca="1">IFERROR(__xludf.DUMMYFUNCTION("""COMPUTED_VALUE"""),"CHONGOYAPE")</f>
        <v>CHONGOYAPE</v>
      </c>
      <c r="H1289" s="25" t="str">
        <f ca="1">IFERROR(__xludf.DUMMYFUNCTION("""COMPUTED_VALUE"""),"URBANO")</f>
        <v>URBANO</v>
      </c>
      <c r="I1289" s="25" t="str">
        <f ca="1">IFERROR(__xludf.DUMMYFUNCTION("""COMPUTED_VALUE"""),"Prioridad 2")</f>
        <v>Prioridad 2</v>
      </c>
      <c r="J1289" s="43" t="s">
        <v>261</v>
      </c>
    </row>
    <row r="1290" spans="2:10">
      <c r="B1290" s="25" t="str">
        <f ca="1">IFERROR(__xludf.DUMMYFUNCTION("""COMPUTED_VALUE"""),"MUNICIPALIDAD DISTRITAL")</f>
        <v>MUNICIPALIDAD DISTRITAL</v>
      </c>
      <c r="C1290" s="25" t="str">
        <f ca="1">IFERROR(__xludf.DUMMYFUNCTION("""COMPUTED_VALUE"""),"MUNICIPALIDAD DISTRITAL DE CIUDAD ETEN")</f>
        <v>MUNICIPALIDAD DISTRITAL DE CIUDAD ETEN</v>
      </c>
      <c r="D1290" s="25" t="str">
        <f ca="1">IFERROR(__xludf.DUMMYFUNCTION("""COMPUTED_VALUE"""),"LAMBAYEQUE")</f>
        <v>LAMBAYEQUE</v>
      </c>
      <c r="E1290" s="25" t="str">
        <f ca="1">IFERROR(__xludf.DUMMYFUNCTION("""COMPUTED_VALUE"""),"LAMBAYEQUE")</f>
        <v>LAMBAYEQUE</v>
      </c>
      <c r="F1290" s="25" t="str">
        <f ca="1">IFERROR(__xludf.DUMMYFUNCTION("""COMPUTED_VALUE"""),"CHICLAYO")</f>
        <v>CHICLAYO</v>
      </c>
      <c r="G1290" s="25" t="str">
        <f ca="1">IFERROR(__xludf.DUMMYFUNCTION("""COMPUTED_VALUE"""),"ETEN")</f>
        <v>ETEN</v>
      </c>
      <c r="H1290" s="25" t="str">
        <f ca="1">IFERROR(__xludf.DUMMYFUNCTION("""COMPUTED_VALUE"""),"URBANO")</f>
        <v>URBANO</v>
      </c>
      <c r="I1290" s="25" t="str">
        <f ca="1">IFERROR(__xludf.DUMMYFUNCTION("""COMPUTED_VALUE"""),"Prioridad 2")</f>
        <v>Prioridad 2</v>
      </c>
      <c r="J1290" s="43" t="s">
        <v>261</v>
      </c>
    </row>
    <row r="1291" spans="2:10">
      <c r="B1291" s="25" t="str">
        <f ca="1">IFERROR(__xludf.DUMMYFUNCTION("""COMPUTED_VALUE"""),"MUNICIPALIDAD DISTRITAL")</f>
        <v>MUNICIPALIDAD DISTRITAL</v>
      </c>
      <c r="C1291" s="25" t="str">
        <f ca="1">IFERROR(__xludf.DUMMYFUNCTION("""COMPUTED_VALUE"""),"MUNICIPALIDAD DISTRITAL DE ETEN PUERTO")</f>
        <v>MUNICIPALIDAD DISTRITAL DE ETEN PUERTO</v>
      </c>
      <c r="D1291" s="25" t="str">
        <f ca="1">IFERROR(__xludf.DUMMYFUNCTION("""COMPUTED_VALUE"""),"LAMBAYEQUE")</f>
        <v>LAMBAYEQUE</v>
      </c>
      <c r="E1291" s="25" t="str">
        <f ca="1">IFERROR(__xludf.DUMMYFUNCTION("""COMPUTED_VALUE"""),"LAMBAYEQUE")</f>
        <v>LAMBAYEQUE</v>
      </c>
      <c r="F1291" s="25" t="str">
        <f ca="1">IFERROR(__xludf.DUMMYFUNCTION("""COMPUTED_VALUE"""),"CHICLAYO")</f>
        <v>CHICLAYO</v>
      </c>
      <c r="G1291" s="25" t="str">
        <f ca="1">IFERROR(__xludf.DUMMYFUNCTION("""COMPUTED_VALUE"""),"ETEN PUERTO")</f>
        <v>ETEN PUERTO</v>
      </c>
      <c r="H1291" s="25" t="str">
        <f ca="1">IFERROR(__xludf.DUMMYFUNCTION("""COMPUTED_VALUE"""),"URBANO")</f>
        <v>URBANO</v>
      </c>
      <c r="I1291" s="25" t="str">
        <f ca="1">IFERROR(__xludf.DUMMYFUNCTION("""COMPUTED_VALUE"""),"Prioridad 1")</f>
        <v>Prioridad 1</v>
      </c>
      <c r="J1291" s="43" t="s">
        <v>261</v>
      </c>
    </row>
    <row r="1292" spans="2:10">
      <c r="B1292" s="25" t="str">
        <f ca="1">IFERROR(__xludf.DUMMYFUNCTION("""COMPUTED_VALUE"""),"MUNICIPALIDAD DISTRITAL")</f>
        <v>MUNICIPALIDAD DISTRITAL</v>
      </c>
      <c r="C1292" s="25" t="str">
        <f ca="1">IFERROR(__xludf.DUMMYFUNCTION("""COMPUTED_VALUE"""),"MUNICIPALIDAD DISTRITAL DE LAGUNAS EN CHICLAYO")</f>
        <v>MUNICIPALIDAD DISTRITAL DE LAGUNAS EN CHICLAYO</v>
      </c>
      <c r="D1292" s="25" t="str">
        <f ca="1">IFERROR(__xludf.DUMMYFUNCTION("""COMPUTED_VALUE"""),"LAMBAYEQUE")</f>
        <v>LAMBAYEQUE</v>
      </c>
      <c r="E1292" s="25" t="str">
        <f ca="1">IFERROR(__xludf.DUMMYFUNCTION("""COMPUTED_VALUE"""),"LAMBAYEQUE")</f>
        <v>LAMBAYEQUE</v>
      </c>
      <c r="F1292" s="25" t="str">
        <f ca="1">IFERROR(__xludf.DUMMYFUNCTION("""COMPUTED_VALUE"""),"CHICLAYO")</f>
        <v>CHICLAYO</v>
      </c>
      <c r="G1292" s="25" t="str">
        <f ca="1">IFERROR(__xludf.DUMMYFUNCTION("""COMPUTED_VALUE"""),"LAGUNAS")</f>
        <v>LAGUNAS</v>
      </c>
      <c r="H1292" s="25" t="str">
        <f ca="1">IFERROR(__xludf.DUMMYFUNCTION("""COMPUTED_VALUE"""),"URBANO")</f>
        <v>URBANO</v>
      </c>
      <c r="I1292" s="25" t="str">
        <f ca="1">IFERROR(__xludf.DUMMYFUNCTION("""COMPUTED_VALUE"""),"Prioridad 2")</f>
        <v>Prioridad 2</v>
      </c>
      <c r="J1292" s="43" t="s">
        <v>261</v>
      </c>
    </row>
    <row r="1293" spans="2:10">
      <c r="B1293" s="25" t="str">
        <f ca="1">IFERROR(__xludf.DUMMYFUNCTION("""COMPUTED_VALUE"""),"MUNICIPALIDAD DISTRITAL")</f>
        <v>MUNICIPALIDAD DISTRITAL</v>
      </c>
      <c r="C1293" s="25" t="str">
        <f ca="1">IFERROR(__xludf.DUMMYFUNCTION("""COMPUTED_VALUE"""),"MUNICIPALIDAD DISTRITAL DE NUEVA ARICA")</f>
        <v>MUNICIPALIDAD DISTRITAL DE NUEVA ARICA</v>
      </c>
      <c r="D1293" s="25" t="str">
        <f ca="1">IFERROR(__xludf.DUMMYFUNCTION("""COMPUTED_VALUE"""),"LAMBAYEQUE")</f>
        <v>LAMBAYEQUE</v>
      </c>
      <c r="E1293" s="25" t="str">
        <f ca="1">IFERROR(__xludf.DUMMYFUNCTION("""COMPUTED_VALUE"""),"LAMBAYEQUE")</f>
        <v>LAMBAYEQUE</v>
      </c>
      <c r="F1293" s="25" t="str">
        <f ca="1">IFERROR(__xludf.DUMMYFUNCTION("""COMPUTED_VALUE"""),"CHICLAYO")</f>
        <v>CHICLAYO</v>
      </c>
      <c r="G1293" s="25" t="str">
        <f ca="1">IFERROR(__xludf.DUMMYFUNCTION("""COMPUTED_VALUE"""),"NUEVA ARICA")</f>
        <v>NUEVA ARICA</v>
      </c>
      <c r="H1293" s="25" t="str">
        <f ca="1">IFERROR(__xludf.DUMMYFUNCTION("""COMPUTED_VALUE"""),"URBANO")</f>
        <v>URBANO</v>
      </c>
      <c r="I1293" s="25" t="str">
        <f ca="1">IFERROR(__xludf.DUMMYFUNCTION("""COMPUTED_VALUE"""),"Prioridad 2")</f>
        <v>Prioridad 2</v>
      </c>
      <c r="J1293" s="43" t="s">
        <v>261</v>
      </c>
    </row>
    <row r="1294" spans="2:10">
      <c r="B1294" s="25" t="str">
        <f ca="1">IFERROR(__xludf.DUMMYFUNCTION("""COMPUTED_VALUE"""),"MUNICIPALIDAD DISTRITAL")</f>
        <v>MUNICIPALIDAD DISTRITAL</v>
      </c>
      <c r="C1294" s="25" t="str">
        <f ca="1">IFERROR(__xludf.DUMMYFUNCTION("""COMPUTED_VALUE"""),"MUNICIPALIDAD DISTRITAL DE OYOTUN")</f>
        <v>MUNICIPALIDAD DISTRITAL DE OYOTUN</v>
      </c>
      <c r="D1294" s="25" t="str">
        <f ca="1">IFERROR(__xludf.DUMMYFUNCTION("""COMPUTED_VALUE"""),"LAMBAYEQUE")</f>
        <v>LAMBAYEQUE</v>
      </c>
      <c r="E1294" s="25" t="str">
        <f ca="1">IFERROR(__xludf.DUMMYFUNCTION("""COMPUTED_VALUE"""),"LAMBAYEQUE")</f>
        <v>LAMBAYEQUE</v>
      </c>
      <c r="F1294" s="25" t="str">
        <f ca="1">IFERROR(__xludf.DUMMYFUNCTION("""COMPUTED_VALUE"""),"CHICLAYO")</f>
        <v>CHICLAYO</v>
      </c>
      <c r="G1294" s="25" t="str">
        <f ca="1">IFERROR(__xludf.DUMMYFUNCTION("""COMPUTED_VALUE"""),"OYOTUN")</f>
        <v>OYOTUN</v>
      </c>
      <c r="H1294" s="25" t="str">
        <f ca="1">IFERROR(__xludf.DUMMYFUNCTION("""COMPUTED_VALUE"""),"URBANO")</f>
        <v>URBANO</v>
      </c>
      <c r="I1294" s="25" t="str">
        <f ca="1">IFERROR(__xludf.DUMMYFUNCTION("""COMPUTED_VALUE"""),"Prioridad 2")</f>
        <v>Prioridad 2</v>
      </c>
      <c r="J1294" s="43" t="s">
        <v>261</v>
      </c>
    </row>
    <row r="1295" spans="2:10">
      <c r="B1295" s="25" t="str">
        <f ca="1">IFERROR(__xludf.DUMMYFUNCTION("""COMPUTED_VALUE"""),"MUNICIPALIDAD DISTRITAL")</f>
        <v>MUNICIPALIDAD DISTRITAL</v>
      </c>
      <c r="C1295" s="25" t="str">
        <f ca="1">IFERROR(__xludf.DUMMYFUNCTION("""COMPUTED_VALUE"""),"MUNICIPALIDAD DISTRITAL DE PICSI")</f>
        <v>MUNICIPALIDAD DISTRITAL DE PICSI</v>
      </c>
      <c r="D1295" s="25" t="str">
        <f ca="1">IFERROR(__xludf.DUMMYFUNCTION("""COMPUTED_VALUE"""),"LAMBAYEQUE")</f>
        <v>LAMBAYEQUE</v>
      </c>
      <c r="E1295" s="25" t="str">
        <f ca="1">IFERROR(__xludf.DUMMYFUNCTION("""COMPUTED_VALUE"""),"LAMBAYEQUE")</f>
        <v>LAMBAYEQUE</v>
      </c>
      <c r="F1295" s="25" t="str">
        <f ca="1">IFERROR(__xludf.DUMMYFUNCTION("""COMPUTED_VALUE"""),"CHICLAYO")</f>
        <v>CHICLAYO</v>
      </c>
      <c r="G1295" s="25" t="str">
        <f ca="1">IFERROR(__xludf.DUMMYFUNCTION("""COMPUTED_VALUE"""),"PICSI")</f>
        <v>PICSI</v>
      </c>
      <c r="H1295" s="25" t="str">
        <f ca="1">IFERROR(__xludf.DUMMYFUNCTION("""COMPUTED_VALUE"""),"URBANO")</f>
        <v>URBANO</v>
      </c>
      <c r="I1295" s="25" t="str">
        <f ca="1">IFERROR(__xludf.DUMMYFUNCTION("""COMPUTED_VALUE"""),"Prioridad 2")</f>
        <v>Prioridad 2</v>
      </c>
      <c r="J1295" s="43" t="s">
        <v>261</v>
      </c>
    </row>
    <row r="1296" spans="2:10" ht="15.75" customHeight="1">
      <c r="B1296" s="25" t="str">
        <f ca="1">IFERROR(__xludf.DUMMYFUNCTION("""COMPUTED_VALUE"""),"MUNICIPALIDAD DISTRITAL")</f>
        <v>MUNICIPALIDAD DISTRITAL</v>
      </c>
      <c r="C1296" s="25" t="str">
        <f ca="1">IFERROR(__xludf.DUMMYFUNCTION("""COMPUTED_VALUE"""),"MUNICIPALIDAD DISTRITAL DE REQUE")</f>
        <v>MUNICIPALIDAD DISTRITAL DE REQUE</v>
      </c>
      <c r="D1296" s="25" t="str">
        <f ca="1">IFERROR(__xludf.DUMMYFUNCTION("""COMPUTED_VALUE"""),"LAMBAYEQUE")</f>
        <v>LAMBAYEQUE</v>
      </c>
      <c r="E1296" s="25" t="str">
        <f ca="1">IFERROR(__xludf.DUMMYFUNCTION("""COMPUTED_VALUE"""),"LAMBAYEQUE")</f>
        <v>LAMBAYEQUE</v>
      </c>
      <c r="F1296" s="25" t="str">
        <f ca="1">IFERROR(__xludf.DUMMYFUNCTION("""COMPUTED_VALUE"""),"CHICLAYO")</f>
        <v>CHICLAYO</v>
      </c>
      <c r="G1296" s="25" t="str">
        <f ca="1">IFERROR(__xludf.DUMMYFUNCTION("""COMPUTED_VALUE"""),"REQUE")</f>
        <v>REQUE</v>
      </c>
      <c r="H1296" s="25" t="str">
        <f ca="1">IFERROR(__xludf.DUMMYFUNCTION("""COMPUTED_VALUE"""),"URBANO")</f>
        <v>URBANO</v>
      </c>
      <c r="I1296" s="25" t="str">
        <f ca="1">IFERROR(__xludf.DUMMYFUNCTION("""COMPUTED_VALUE"""),"Prioridad 1")</f>
        <v>Prioridad 1</v>
      </c>
      <c r="J1296" s="45"/>
    </row>
    <row r="1297" spans="2:10" ht="15.75" customHeight="1">
      <c r="B1297" s="25" t="str">
        <f ca="1">IFERROR(__xludf.DUMMYFUNCTION("""COMPUTED_VALUE"""),"MUNICIPALIDAD DISTRITAL")</f>
        <v>MUNICIPALIDAD DISTRITAL</v>
      </c>
      <c r="C1297" s="25" t="str">
        <f ca="1">IFERROR(__xludf.DUMMYFUNCTION("""COMPUTED_VALUE"""),"MUNICIPALIDAD DISTRITAL DE SANTA ROSA EN CHICLAYO")</f>
        <v>MUNICIPALIDAD DISTRITAL DE SANTA ROSA EN CHICLAYO</v>
      </c>
      <c r="D1297" s="25" t="str">
        <f ca="1">IFERROR(__xludf.DUMMYFUNCTION("""COMPUTED_VALUE"""),"LAMBAYEQUE")</f>
        <v>LAMBAYEQUE</v>
      </c>
      <c r="E1297" s="25" t="str">
        <f ca="1">IFERROR(__xludf.DUMMYFUNCTION("""COMPUTED_VALUE"""),"LAMBAYEQUE")</f>
        <v>LAMBAYEQUE</v>
      </c>
      <c r="F1297" s="25" t="str">
        <f ca="1">IFERROR(__xludf.DUMMYFUNCTION("""COMPUTED_VALUE"""),"CHICLAYO")</f>
        <v>CHICLAYO</v>
      </c>
      <c r="G1297" s="25" t="str">
        <f ca="1">IFERROR(__xludf.DUMMYFUNCTION("""COMPUTED_VALUE"""),"SANTA ROSA")</f>
        <v>SANTA ROSA</v>
      </c>
      <c r="H1297" s="25" t="str">
        <f ca="1">IFERROR(__xludf.DUMMYFUNCTION("""COMPUTED_VALUE"""),"URBANO")</f>
        <v>URBANO</v>
      </c>
      <c r="I1297" s="25" t="str">
        <f ca="1">IFERROR(__xludf.DUMMYFUNCTION("""COMPUTED_VALUE"""),"Prioridad 4")</f>
        <v>Prioridad 4</v>
      </c>
      <c r="J1297" s="45"/>
    </row>
    <row r="1298" spans="2:10" ht="15.75" customHeight="1">
      <c r="B1298" s="25" t="str">
        <f ca="1">IFERROR(__xludf.DUMMYFUNCTION("""COMPUTED_VALUE"""),"MUNICIPALIDAD DISTRITAL")</f>
        <v>MUNICIPALIDAD DISTRITAL</v>
      </c>
      <c r="C1298" s="25" t="str">
        <f ca="1">IFERROR(__xludf.DUMMYFUNCTION("""COMPUTED_VALUE"""),"MUNICIPALIDAD DISTRITAL DE SAÑA")</f>
        <v>MUNICIPALIDAD DISTRITAL DE SAÑA</v>
      </c>
      <c r="D1298" s="25" t="str">
        <f ca="1">IFERROR(__xludf.DUMMYFUNCTION("""COMPUTED_VALUE"""),"LAMBAYEQUE")</f>
        <v>LAMBAYEQUE</v>
      </c>
      <c r="E1298" s="25" t="str">
        <f ca="1">IFERROR(__xludf.DUMMYFUNCTION("""COMPUTED_VALUE"""),"LAMBAYEQUE")</f>
        <v>LAMBAYEQUE</v>
      </c>
      <c r="F1298" s="25" t="str">
        <f ca="1">IFERROR(__xludf.DUMMYFUNCTION("""COMPUTED_VALUE"""),"CHICLAYO")</f>
        <v>CHICLAYO</v>
      </c>
      <c r="G1298" s="25" t="str">
        <f ca="1">IFERROR(__xludf.DUMMYFUNCTION("""COMPUTED_VALUE"""),"SAÑA")</f>
        <v>SAÑA</v>
      </c>
      <c r="H1298" s="25" t="str">
        <f ca="1">IFERROR(__xludf.DUMMYFUNCTION("""COMPUTED_VALUE"""),"URBANO")</f>
        <v>URBANO</v>
      </c>
      <c r="I1298" s="25" t="str">
        <f ca="1">IFERROR(__xludf.DUMMYFUNCTION("""COMPUTED_VALUE"""),"Prioridad 2")</f>
        <v>Prioridad 2</v>
      </c>
      <c r="J1298" s="45"/>
    </row>
    <row r="1299" spans="2:10" ht="15.75" customHeight="1">
      <c r="B1299" s="25" t="str">
        <f ca="1">IFERROR(__xludf.DUMMYFUNCTION("""COMPUTED_VALUE"""),"MUNICIPALIDAD DISTRITAL")</f>
        <v>MUNICIPALIDAD DISTRITAL</v>
      </c>
      <c r="C1299" s="25" t="str">
        <f ca="1">IFERROR(__xludf.DUMMYFUNCTION("""COMPUTED_VALUE"""),"MUNICIPALIDAD DISTRITAL DE CAYALTI")</f>
        <v>MUNICIPALIDAD DISTRITAL DE CAYALTI</v>
      </c>
      <c r="D1299" s="25" t="str">
        <f ca="1">IFERROR(__xludf.DUMMYFUNCTION("""COMPUTED_VALUE"""),"LAMBAYEQUE")</f>
        <v>LAMBAYEQUE</v>
      </c>
      <c r="E1299" s="25" t="str">
        <f ca="1">IFERROR(__xludf.DUMMYFUNCTION("""COMPUTED_VALUE"""),"LAMBAYEQUE")</f>
        <v>LAMBAYEQUE</v>
      </c>
      <c r="F1299" s="25" t="str">
        <f ca="1">IFERROR(__xludf.DUMMYFUNCTION("""COMPUTED_VALUE"""),"CHICLAYO")</f>
        <v>CHICLAYO</v>
      </c>
      <c r="G1299" s="25" t="str">
        <f ca="1">IFERROR(__xludf.DUMMYFUNCTION("""COMPUTED_VALUE"""),"CAYALTI")</f>
        <v>CAYALTI</v>
      </c>
      <c r="H1299" s="25" t="str">
        <f ca="1">IFERROR(__xludf.DUMMYFUNCTION("""COMPUTED_VALUE"""),"URBANO")</f>
        <v>URBANO</v>
      </c>
      <c r="I1299" s="25" t="str">
        <f ca="1">IFERROR(__xludf.DUMMYFUNCTION("""COMPUTED_VALUE"""),"Prioridad 2")</f>
        <v>Prioridad 2</v>
      </c>
      <c r="J1299" s="45"/>
    </row>
    <row r="1300" spans="2:10" ht="15.75" customHeight="1">
      <c r="B1300" s="25" t="str">
        <f ca="1">IFERROR(__xludf.DUMMYFUNCTION("""COMPUTED_VALUE"""),"MUNICIPALIDAD DISTRITAL")</f>
        <v>MUNICIPALIDAD DISTRITAL</v>
      </c>
      <c r="C1300" s="25" t="str">
        <f ca="1">IFERROR(__xludf.DUMMYFUNCTION("""COMPUTED_VALUE"""),"MUNICIPALIDAD DISTRITAL DE PATAPO")</f>
        <v>MUNICIPALIDAD DISTRITAL DE PATAPO</v>
      </c>
      <c r="D1300" s="25" t="str">
        <f ca="1">IFERROR(__xludf.DUMMYFUNCTION("""COMPUTED_VALUE"""),"LAMBAYEQUE")</f>
        <v>LAMBAYEQUE</v>
      </c>
      <c r="E1300" s="25" t="str">
        <f ca="1">IFERROR(__xludf.DUMMYFUNCTION("""COMPUTED_VALUE"""),"LAMBAYEQUE")</f>
        <v>LAMBAYEQUE</v>
      </c>
      <c r="F1300" s="25" t="str">
        <f ca="1">IFERROR(__xludf.DUMMYFUNCTION("""COMPUTED_VALUE"""),"CHICLAYO")</f>
        <v>CHICLAYO</v>
      </c>
      <c r="G1300" s="25" t="str">
        <f ca="1">IFERROR(__xludf.DUMMYFUNCTION("""COMPUTED_VALUE"""),"PATAPO")</f>
        <v>PATAPO</v>
      </c>
      <c r="H1300" s="25" t="str">
        <f ca="1">IFERROR(__xludf.DUMMYFUNCTION("""COMPUTED_VALUE"""),"URBANO")</f>
        <v>URBANO</v>
      </c>
      <c r="I1300" s="25" t="str">
        <f ca="1">IFERROR(__xludf.DUMMYFUNCTION("""COMPUTED_VALUE"""),"Prioridad 2")</f>
        <v>Prioridad 2</v>
      </c>
      <c r="J1300" s="45"/>
    </row>
    <row r="1301" spans="2:10" ht="15.75" customHeight="1">
      <c r="B1301" s="25" t="str">
        <f ca="1">IFERROR(__xludf.DUMMYFUNCTION("""COMPUTED_VALUE"""),"MUNICIPALIDAD DISTRITAL")</f>
        <v>MUNICIPALIDAD DISTRITAL</v>
      </c>
      <c r="C1301" s="25" t="str">
        <f ca="1">IFERROR(__xludf.DUMMYFUNCTION("""COMPUTED_VALUE"""),"MUNICIPALIDAD DISTRITAL DE PUCALA")</f>
        <v>MUNICIPALIDAD DISTRITAL DE PUCALA</v>
      </c>
      <c r="D1301" s="25" t="str">
        <f ca="1">IFERROR(__xludf.DUMMYFUNCTION("""COMPUTED_VALUE"""),"LAMBAYEQUE")</f>
        <v>LAMBAYEQUE</v>
      </c>
      <c r="E1301" s="25" t="str">
        <f ca="1">IFERROR(__xludf.DUMMYFUNCTION("""COMPUTED_VALUE"""),"LAMBAYEQUE")</f>
        <v>LAMBAYEQUE</v>
      </c>
      <c r="F1301" s="25" t="str">
        <f ca="1">IFERROR(__xludf.DUMMYFUNCTION("""COMPUTED_VALUE"""),"CHICLAYO")</f>
        <v>CHICLAYO</v>
      </c>
      <c r="G1301" s="25" t="str">
        <f ca="1">IFERROR(__xludf.DUMMYFUNCTION("""COMPUTED_VALUE"""),"PUCALA")</f>
        <v>PUCALA</v>
      </c>
      <c r="H1301" s="25" t="str">
        <f ca="1">IFERROR(__xludf.DUMMYFUNCTION("""COMPUTED_VALUE"""),"URBANO")</f>
        <v>URBANO</v>
      </c>
      <c r="I1301" s="25" t="str">
        <f ca="1">IFERROR(__xludf.DUMMYFUNCTION("""COMPUTED_VALUE"""),"Prioridad 2")</f>
        <v>Prioridad 2</v>
      </c>
      <c r="J1301" s="45"/>
    </row>
    <row r="1302" spans="2:10" ht="15.75" customHeight="1">
      <c r="B1302" s="25" t="str">
        <f ca="1">IFERROR(__xludf.DUMMYFUNCTION("""COMPUTED_VALUE"""),"GOBIERNO REGIONAL")</f>
        <v>GOBIERNO REGIONAL</v>
      </c>
      <c r="C1302" s="25" t="str">
        <f ca="1">IFERROR(__xludf.DUMMYFUNCTION("""COMPUTED_VALUE"""),"GOBIERNO REGIONAL DE LAMBAYEQUE")</f>
        <v>GOBIERNO REGIONAL DE LAMBAYEQUE</v>
      </c>
      <c r="D1302" s="25" t="str">
        <f ca="1">IFERROR(__xludf.DUMMYFUNCTION("""COMPUTED_VALUE"""),"LAMBAYEQUE")</f>
        <v>LAMBAYEQUE</v>
      </c>
      <c r="E1302" s="25" t="str">
        <f ca="1">IFERROR(__xludf.DUMMYFUNCTION("""COMPUTED_VALUE"""),"LAMBAYEQUE")</f>
        <v>LAMBAYEQUE</v>
      </c>
      <c r="F1302" s="25" t="str">
        <f ca="1">IFERROR(__xludf.DUMMYFUNCTION("""COMPUTED_VALUE"""),"CHICLAYO")</f>
        <v>CHICLAYO</v>
      </c>
      <c r="G1302" s="25" t="str">
        <f ca="1">IFERROR(__xludf.DUMMYFUNCTION("""COMPUTED_VALUE"""),"CHICLAYO")</f>
        <v>CHICLAYO</v>
      </c>
      <c r="H1302" s="25" t="str">
        <f ca="1">IFERROR(__xludf.DUMMYFUNCTION("""COMPUTED_VALUE"""),"URBANO")</f>
        <v>URBANO</v>
      </c>
      <c r="I1302" s="25" t="str">
        <f ca="1">IFERROR(__xludf.DUMMYFUNCTION("""COMPUTED_VALUE"""),"Prioridad 1")</f>
        <v>Prioridad 1</v>
      </c>
      <c r="J1302" s="45"/>
    </row>
    <row r="1303" spans="2:10" ht="15.75" customHeight="1">
      <c r="B1303" s="25" t="str">
        <f ca="1">IFERROR(__xludf.DUMMYFUNCTION("""COMPUTED_VALUE"""),"MUNICIPALIDAD PROVINCIAL")</f>
        <v>MUNICIPALIDAD PROVINCIAL</v>
      </c>
      <c r="C1303" s="25" t="str">
        <f ca="1">IFERROR(__xludf.DUMMYFUNCTION("""COMPUTED_VALUE"""),"MUNICIPALIDAD PROVINCIAL DE FERREÑAFE")</f>
        <v>MUNICIPALIDAD PROVINCIAL DE FERREÑAFE</v>
      </c>
      <c r="D1303" s="25" t="str">
        <f ca="1">IFERROR(__xludf.DUMMYFUNCTION("""COMPUTED_VALUE"""),"LAMBAYEQUE")</f>
        <v>LAMBAYEQUE</v>
      </c>
      <c r="E1303" s="25" t="str">
        <f ca="1">IFERROR(__xludf.DUMMYFUNCTION("""COMPUTED_VALUE"""),"LAMBAYEQUE")</f>
        <v>LAMBAYEQUE</v>
      </c>
      <c r="F1303" s="25" t="str">
        <f ca="1">IFERROR(__xludf.DUMMYFUNCTION("""COMPUTED_VALUE"""),"FERREÑAFE")</f>
        <v>FERREÑAFE</v>
      </c>
      <c r="G1303" s="25" t="str">
        <f ca="1">IFERROR(__xludf.DUMMYFUNCTION("""COMPUTED_VALUE"""),"FERREÑAFE")</f>
        <v>FERREÑAFE</v>
      </c>
      <c r="H1303" s="25" t="str">
        <f ca="1">IFERROR(__xludf.DUMMYFUNCTION("""COMPUTED_VALUE"""),"URBANO")</f>
        <v>URBANO</v>
      </c>
      <c r="I1303" s="25" t="str">
        <f ca="1">IFERROR(__xludf.DUMMYFUNCTION("""COMPUTED_VALUE"""),"Prioridad 1")</f>
        <v>Prioridad 1</v>
      </c>
      <c r="J1303" s="45"/>
    </row>
    <row r="1304" spans="2:10" ht="15.75" customHeight="1">
      <c r="B1304" s="25" t="str">
        <f ca="1">IFERROR(__xludf.DUMMYFUNCTION("""COMPUTED_VALUE"""),"MUNICIPALIDAD DISTRITAL")</f>
        <v>MUNICIPALIDAD DISTRITAL</v>
      </c>
      <c r="C1304" s="25" t="str">
        <f ca="1">IFERROR(__xludf.DUMMYFUNCTION("""COMPUTED_VALUE"""),"MUNICIPALIDAD DISTRITAL DE PUEBLO NUEVO EN FERREÑAFE")</f>
        <v>MUNICIPALIDAD DISTRITAL DE PUEBLO NUEVO EN FERREÑAFE</v>
      </c>
      <c r="D1304" s="25" t="str">
        <f ca="1">IFERROR(__xludf.DUMMYFUNCTION("""COMPUTED_VALUE"""),"LAMBAYEQUE")</f>
        <v>LAMBAYEQUE</v>
      </c>
      <c r="E1304" s="25" t="str">
        <f ca="1">IFERROR(__xludf.DUMMYFUNCTION("""COMPUTED_VALUE"""),"LAMBAYEQUE")</f>
        <v>LAMBAYEQUE</v>
      </c>
      <c r="F1304" s="25" t="str">
        <f ca="1">IFERROR(__xludf.DUMMYFUNCTION("""COMPUTED_VALUE"""),"FERREÑAFE")</f>
        <v>FERREÑAFE</v>
      </c>
      <c r="G1304" s="25" t="str">
        <f ca="1">IFERROR(__xludf.DUMMYFUNCTION("""COMPUTED_VALUE"""),"PUEBLO NUEVO")</f>
        <v>PUEBLO NUEVO</v>
      </c>
      <c r="H1304" s="25" t="str">
        <f ca="1">IFERROR(__xludf.DUMMYFUNCTION("""COMPUTED_VALUE"""),"URBANO")</f>
        <v>URBANO</v>
      </c>
      <c r="I1304" s="25" t="str">
        <f ca="1">IFERROR(__xludf.DUMMYFUNCTION("""COMPUTED_VALUE"""),"Prioridad 1")</f>
        <v>Prioridad 1</v>
      </c>
      <c r="J1304" s="45"/>
    </row>
    <row r="1305" spans="2:10" ht="15.75" customHeight="1">
      <c r="B1305" s="25" t="str">
        <f ca="1">IFERROR(__xludf.DUMMYFUNCTION("""COMPUTED_VALUE"""),"MUNICIPALIDAD DISTRITAL")</f>
        <v>MUNICIPALIDAD DISTRITAL</v>
      </c>
      <c r="C1305" s="25" t="str">
        <f ca="1">IFERROR(__xludf.DUMMYFUNCTION("""COMPUTED_VALUE"""),"MUNICIPALIDAD DISTRITAL DE MANUEL ANTONIO MESONES MURO")</f>
        <v>MUNICIPALIDAD DISTRITAL DE MANUEL ANTONIO MESONES MURO</v>
      </c>
      <c r="D1305" s="25" t="str">
        <f ca="1">IFERROR(__xludf.DUMMYFUNCTION("""COMPUTED_VALUE"""),"LAMBAYEQUE")</f>
        <v>LAMBAYEQUE</v>
      </c>
      <c r="E1305" s="25" t="str">
        <f ca="1">IFERROR(__xludf.DUMMYFUNCTION("""COMPUTED_VALUE"""),"LAMBAYEQUE")</f>
        <v>LAMBAYEQUE</v>
      </c>
      <c r="F1305" s="25" t="str">
        <f ca="1">IFERROR(__xludf.DUMMYFUNCTION("""COMPUTED_VALUE"""),"FERREÑAFE")</f>
        <v>FERREÑAFE</v>
      </c>
      <c r="G1305" s="25" t="str">
        <f ca="1">IFERROR(__xludf.DUMMYFUNCTION("""COMPUTED_VALUE"""),"MANUEL ANTONIO MESONES MURO")</f>
        <v>MANUEL ANTONIO MESONES MURO</v>
      </c>
      <c r="H1305" s="25" t="str">
        <f ca="1">IFERROR(__xludf.DUMMYFUNCTION("""COMPUTED_VALUE"""),"RURAL")</f>
        <v>RURAL</v>
      </c>
      <c r="I1305" s="25" t="str">
        <f ca="1">IFERROR(__xludf.DUMMYFUNCTION("""COMPUTED_VALUE"""),"Prioridad 2")</f>
        <v>Prioridad 2</v>
      </c>
      <c r="J1305" s="45"/>
    </row>
    <row r="1306" spans="2:10" ht="15.75" customHeight="1">
      <c r="B1306" s="25" t="str">
        <f ca="1">IFERROR(__xludf.DUMMYFUNCTION("""COMPUTED_VALUE"""),"MUNICIPALIDAD DISTRITAL")</f>
        <v>MUNICIPALIDAD DISTRITAL</v>
      </c>
      <c r="C1306" s="25" t="str">
        <f ca="1">IFERROR(__xludf.DUMMYFUNCTION("""COMPUTED_VALUE"""),"MUNICIPALIDAD DISTRITAL DE PITIPO")</f>
        <v>MUNICIPALIDAD DISTRITAL DE PITIPO</v>
      </c>
      <c r="D1306" s="25" t="str">
        <f ca="1">IFERROR(__xludf.DUMMYFUNCTION("""COMPUTED_VALUE"""),"LAMBAYEQUE")</f>
        <v>LAMBAYEQUE</v>
      </c>
      <c r="E1306" s="25" t="str">
        <f ca="1">IFERROR(__xludf.DUMMYFUNCTION("""COMPUTED_VALUE"""),"LAMBAYEQUE")</f>
        <v>LAMBAYEQUE</v>
      </c>
      <c r="F1306" s="25" t="str">
        <f ca="1">IFERROR(__xludf.DUMMYFUNCTION("""COMPUTED_VALUE"""),"FERREÑAFE")</f>
        <v>FERREÑAFE</v>
      </c>
      <c r="G1306" s="25" t="str">
        <f ca="1">IFERROR(__xludf.DUMMYFUNCTION("""COMPUTED_VALUE"""),"PITIPO")</f>
        <v>PITIPO</v>
      </c>
      <c r="H1306" s="25" t="str">
        <f ca="1">IFERROR(__xludf.DUMMYFUNCTION("""COMPUTED_VALUE"""),"RURAL")</f>
        <v>RURAL</v>
      </c>
      <c r="I1306" s="25" t="str">
        <f ca="1">IFERROR(__xludf.DUMMYFUNCTION("""COMPUTED_VALUE"""),"Prioridad 3")</f>
        <v>Prioridad 3</v>
      </c>
      <c r="J1306" s="45"/>
    </row>
    <row r="1307" spans="2:10" ht="15.75" customHeight="1">
      <c r="B1307" s="25" t="str">
        <f ca="1">IFERROR(__xludf.DUMMYFUNCTION("""COMPUTED_VALUE"""),"MUNICIPALIDAD DISTRITAL")</f>
        <v>MUNICIPALIDAD DISTRITAL</v>
      </c>
      <c r="C1307" s="25" t="str">
        <f ca="1">IFERROR(__xludf.DUMMYFUNCTION("""COMPUTED_VALUE"""),"MUNICIPALIDAD DISTRITAL DE CAÑARIS")</f>
        <v>MUNICIPALIDAD DISTRITAL DE CAÑARIS</v>
      </c>
      <c r="D1307" s="25" t="str">
        <f ca="1">IFERROR(__xludf.DUMMYFUNCTION("""COMPUTED_VALUE"""),"LAMBAYEQUE")</f>
        <v>LAMBAYEQUE</v>
      </c>
      <c r="E1307" s="25" t="str">
        <f ca="1">IFERROR(__xludf.DUMMYFUNCTION("""COMPUTED_VALUE"""),"LAMBAYEQUE")</f>
        <v>LAMBAYEQUE</v>
      </c>
      <c r="F1307" s="25" t="str">
        <f ca="1">IFERROR(__xludf.DUMMYFUNCTION("""COMPUTED_VALUE"""),"FERREÑAFE")</f>
        <v>FERREÑAFE</v>
      </c>
      <c r="G1307" s="25" t="str">
        <f ca="1">IFERROR(__xludf.DUMMYFUNCTION("""COMPUTED_VALUE"""),"CAÑARIS")</f>
        <v>CAÑARIS</v>
      </c>
      <c r="H1307" s="25" t="str">
        <f ca="1">IFERROR(__xludf.DUMMYFUNCTION("""COMPUTED_VALUE"""),"RURAL")</f>
        <v>RURAL</v>
      </c>
      <c r="I1307" s="25" t="str">
        <f ca="1">IFERROR(__xludf.DUMMYFUNCTION("""COMPUTED_VALUE"""),"Prioridad 5")</f>
        <v>Prioridad 5</v>
      </c>
      <c r="J1307" s="45"/>
    </row>
    <row r="1308" spans="2:10" ht="15.75" customHeight="1">
      <c r="B1308" s="25" t="str">
        <f ca="1">IFERROR(__xludf.DUMMYFUNCTION("""COMPUTED_VALUE"""),"MUNICIPALIDAD DISTRITAL")</f>
        <v>MUNICIPALIDAD DISTRITAL</v>
      </c>
      <c r="C1308" s="25" t="str">
        <f ca="1">IFERROR(__xludf.DUMMYFUNCTION("""COMPUTED_VALUE"""),"MUNICIPALIDAD DISTRITAL DE INCAHUASI")</f>
        <v>MUNICIPALIDAD DISTRITAL DE INCAHUASI</v>
      </c>
      <c r="D1308" s="25" t="str">
        <f ca="1">IFERROR(__xludf.DUMMYFUNCTION("""COMPUTED_VALUE"""),"LAMBAYEQUE")</f>
        <v>LAMBAYEQUE</v>
      </c>
      <c r="E1308" s="25" t="str">
        <f ca="1">IFERROR(__xludf.DUMMYFUNCTION("""COMPUTED_VALUE"""),"LAMBAYEQUE")</f>
        <v>LAMBAYEQUE</v>
      </c>
      <c r="F1308" s="25" t="str">
        <f ca="1">IFERROR(__xludf.DUMMYFUNCTION("""COMPUTED_VALUE"""),"FERREÑAFE")</f>
        <v>FERREÑAFE</v>
      </c>
      <c r="G1308" s="25" t="str">
        <f ca="1">IFERROR(__xludf.DUMMYFUNCTION("""COMPUTED_VALUE"""),"INCAHUASI")</f>
        <v>INCAHUASI</v>
      </c>
      <c r="H1308" s="25" t="str">
        <f ca="1">IFERROR(__xludf.DUMMYFUNCTION("""COMPUTED_VALUE"""),"RURAL")</f>
        <v>RURAL</v>
      </c>
      <c r="I1308" s="25" t="str">
        <f ca="1">IFERROR(__xludf.DUMMYFUNCTION("""COMPUTED_VALUE"""),"Prioridad 5")</f>
        <v>Prioridad 5</v>
      </c>
      <c r="J1308" s="45"/>
    </row>
    <row r="1309" spans="2:10" ht="15.75" customHeight="1">
      <c r="B1309" s="25" t="str">
        <f ca="1">IFERROR(__xludf.DUMMYFUNCTION("""COMPUTED_VALUE"""),"MUNICIPALIDAD PROVINCIAL")</f>
        <v>MUNICIPALIDAD PROVINCIAL</v>
      </c>
      <c r="C1309" s="25" t="str">
        <f ca="1">IFERROR(__xludf.DUMMYFUNCTION("""COMPUTED_VALUE"""),"MUNICIPALIDAD PROVINCIAL DE LAMBAYEQUE")</f>
        <v>MUNICIPALIDAD PROVINCIAL DE LAMBAYEQUE</v>
      </c>
      <c r="D1309" s="25" t="str">
        <f ca="1">IFERROR(__xludf.DUMMYFUNCTION("""COMPUTED_VALUE"""),"LAMBAYEQUE")</f>
        <v>LAMBAYEQUE</v>
      </c>
      <c r="E1309" s="25" t="str">
        <f ca="1">IFERROR(__xludf.DUMMYFUNCTION("""COMPUTED_VALUE"""),"LAMBAYEQUE")</f>
        <v>LAMBAYEQUE</v>
      </c>
      <c r="F1309" s="25" t="str">
        <f ca="1">IFERROR(__xludf.DUMMYFUNCTION("""COMPUTED_VALUE"""),"LAMBAYEQUE")</f>
        <v>LAMBAYEQUE</v>
      </c>
      <c r="G1309" s="25" t="str">
        <f ca="1">IFERROR(__xludf.DUMMYFUNCTION("""COMPUTED_VALUE"""),"LAMBAYEQUE")</f>
        <v>LAMBAYEQUE</v>
      </c>
      <c r="H1309" s="25" t="str">
        <f ca="1">IFERROR(__xludf.DUMMYFUNCTION("""COMPUTED_VALUE"""),"URBANO")</f>
        <v>URBANO</v>
      </c>
      <c r="I1309" s="25" t="str">
        <f ca="1">IFERROR(__xludf.DUMMYFUNCTION("""COMPUTED_VALUE"""),"Prioridad 1")</f>
        <v>Prioridad 1</v>
      </c>
      <c r="J1309" s="45"/>
    </row>
    <row r="1310" spans="2:10" ht="15.75" customHeight="1">
      <c r="B1310" s="25" t="str">
        <f ca="1">IFERROR(__xludf.DUMMYFUNCTION("""COMPUTED_VALUE"""),"MUNICIPALIDAD DISTRITAL")</f>
        <v>MUNICIPALIDAD DISTRITAL</v>
      </c>
      <c r="C1310" s="25" t="str">
        <f ca="1">IFERROR(__xludf.DUMMYFUNCTION("""COMPUTED_VALUE"""),"MUNICIPALIDAD DISTRITAL DE SAN JOSE EN LAMBAYEQUE")</f>
        <v>MUNICIPALIDAD DISTRITAL DE SAN JOSE EN LAMBAYEQUE</v>
      </c>
      <c r="D1310" s="25" t="str">
        <f ca="1">IFERROR(__xludf.DUMMYFUNCTION("""COMPUTED_VALUE"""),"LAMBAYEQUE")</f>
        <v>LAMBAYEQUE</v>
      </c>
      <c r="E1310" s="25" t="str">
        <f ca="1">IFERROR(__xludf.DUMMYFUNCTION("""COMPUTED_VALUE"""),"LAMBAYEQUE")</f>
        <v>LAMBAYEQUE</v>
      </c>
      <c r="F1310" s="25" t="str">
        <f ca="1">IFERROR(__xludf.DUMMYFUNCTION("""COMPUTED_VALUE"""),"LAMBAYEQUE")</f>
        <v>LAMBAYEQUE</v>
      </c>
      <c r="G1310" s="25" t="str">
        <f ca="1">IFERROR(__xludf.DUMMYFUNCTION("""COMPUTED_VALUE"""),"SAN JOSE")</f>
        <v>SAN JOSE</v>
      </c>
      <c r="H1310" s="25" t="str">
        <f ca="1">IFERROR(__xludf.DUMMYFUNCTION("""COMPUTED_VALUE"""),"URBANO")</f>
        <v>URBANO</v>
      </c>
      <c r="I1310" s="25" t="str">
        <f ca="1">IFERROR(__xludf.DUMMYFUNCTION("""COMPUTED_VALUE"""),"Prioridad 2")</f>
        <v>Prioridad 2</v>
      </c>
      <c r="J1310" s="45"/>
    </row>
    <row r="1311" spans="2:10" ht="15.75" customHeight="1">
      <c r="B1311" s="25" t="str">
        <f ca="1">IFERROR(__xludf.DUMMYFUNCTION("""COMPUTED_VALUE"""),"MUNICIPALIDAD DISTRITAL")</f>
        <v>MUNICIPALIDAD DISTRITAL</v>
      </c>
      <c r="C1311" s="25" t="str">
        <f ca="1">IFERROR(__xludf.DUMMYFUNCTION("""COMPUTED_VALUE"""),"MUNICIPALIDAD DISTRITAL DE ILLIMO")</f>
        <v>MUNICIPALIDAD DISTRITAL DE ILLIMO</v>
      </c>
      <c r="D1311" s="25" t="str">
        <f ca="1">IFERROR(__xludf.DUMMYFUNCTION("""COMPUTED_VALUE"""),"LAMBAYEQUE")</f>
        <v>LAMBAYEQUE</v>
      </c>
      <c r="E1311" s="25" t="str">
        <f ca="1">IFERROR(__xludf.DUMMYFUNCTION("""COMPUTED_VALUE"""),"LAMBAYEQUE")</f>
        <v>LAMBAYEQUE</v>
      </c>
      <c r="F1311" s="25" t="str">
        <f ca="1">IFERROR(__xludf.DUMMYFUNCTION("""COMPUTED_VALUE"""),"LAMBAYEQUE")</f>
        <v>LAMBAYEQUE</v>
      </c>
      <c r="G1311" s="25" t="str">
        <f ca="1">IFERROR(__xludf.DUMMYFUNCTION("""COMPUTED_VALUE"""),"ILLIMO")</f>
        <v>ILLIMO</v>
      </c>
      <c r="H1311" s="25" t="str">
        <f ca="1">IFERROR(__xludf.DUMMYFUNCTION("""COMPUTED_VALUE"""),"URBANO")</f>
        <v>URBANO</v>
      </c>
      <c r="I1311" s="25" t="str">
        <f ca="1">IFERROR(__xludf.DUMMYFUNCTION("""COMPUTED_VALUE"""),"Prioridad 3")</f>
        <v>Prioridad 3</v>
      </c>
      <c r="J1311" s="45"/>
    </row>
    <row r="1312" spans="2:10" ht="15.75" customHeight="1">
      <c r="B1312" s="25" t="str">
        <f ca="1">IFERROR(__xludf.DUMMYFUNCTION("""COMPUTED_VALUE"""),"MUNICIPALIDAD DISTRITAL")</f>
        <v>MUNICIPALIDAD DISTRITAL</v>
      </c>
      <c r="C1312" s="25" t="str">
        <f ca="1">IFERROR(__xludf.DUMMYFUNCTION("""COMPUTED_VALUE"""),"MUNICIPALIDAD DISTRITAL DE JAYANCA")</f>
        <v>MUNICIPALIDAD DISTRITAL DE JAYANCA</v>
      </c>
      <c r="D1312" s="25" t="str">
        <f ca="1">IFERROR(__xludf.DUMMYFUNCTION("""COMPUTED_VALUE"""),"LAMBAYEQUE")</f>
        <v>LAMBAYEQUE</v>
      </c>
      <c r="E1312" s="25" t="str">
        <f ca="1">IFERROR(__xludf.DUMMYFUNCTION("""COMPUTED_VALUE"""),"LAMBAYEQUE")</f>
        <v>LAMBAYEQUE</v>
      </c>
      <c r="F1312" s="25" t="str">
        <f ca="1">IFERROR(__xludf.DUMMYFUNCTION("""COMPUTED_VALUE"""),"LAMBAYEQUE")</f>
        <v>LAMBAYEQUE</v>
      </c>
      <c r="G1312" s="25" t="str">
        <f ca="1">IFERROR(__xludf.DUMMYFUNCTION("""COMPUTED_VALUE"""),"JAYANCA")</f>
        <v>JAYANCA</v>
      </c>
      <c r="H1312" s="25" t="str">
        <f ca="1">IFERROR(__xludf.DUMMYFUNCTION("""COMPUTED_VALUE"""),"URBANO")</f>
        <v>URBANO</v>
      </c>
      <c r="I1312" s="25" t="str">
        <f ca="1">IFERROR(__xludf.DUMMYFUNCTION("""COMPUTED_VALUE"""),"Prioridad 2")</f>
        <v>Prioridad 2</v>
      </c>
      <c r="J1312" s="45"/>
    </row>
    <row r="1313" spans="2:10" ht="15.75" customHeight="1">
      <c r="B1313" s="25" t="str">
        <f ca="1">IFERROR(__xludf.DUMMYFUNCTION("""COMPUTED_VALUE"""),"MUNICIPALIDAD DISTRITAL")</f>
        <v>MUNICIPALIDAD DISTRITAL</v>
      </c>
      <c r="C1313" s="25" t="str">
        <f ca="1">IFERROR(__xludf.DUMMYFUNCTION("""COMPUTED_VALUE"""),"MUNICIPALIDAD DISTRITAL DE MOCHUMI")</f>
        <v>MUNICIPALIDAD DISTRITAL DE MOCHUMI</v>
      </c>
      <c r="D1313" s="25" t="str">
        <f ca="1">IFERROR(__xludf.DUMMYFUNCTION("""COMPUTED_VALUE"""),"LAMBAYEQUE")</f>
        <v>LAMBAYEQUE</v>
      </c>
      <c r="E1313" s="25" t="str">
        <f ca="1">IFERROR(__xludf.DUMMYFUNCTION("""COMPUTED_VALUE"""),"LAMBAYEQUE")</f>
        <v>LAMBAYEQUE</v>
      </c>
      <c r="F1313" s="25" t="str">
        <f ca="1">IFERROR(__xludf.DUMMYFUNCTION("""COMPUTED_VALUE"""),"LAMBAYEQUE")</f>
        <v>LAMBAYEQUE</v>
      </c>
      <c r="G1313" s="25" t="str">
        <f ca="1">IFERROR(__xludf.DUMMYFUNCTION("""COMPUTED_VALUE"""),"MOCHUMI")</f>
        <v>MOCHUMI</v>
      </c>
      <c r="H1313" s="25" t="str">
        <f ca="1">IFERROR(__xludf.DUMMYFUNCTION("""COMPUTED_VALUE"""),"RURAL")</f>
        <v>RURAL</v>
      </c>
      <c r="I1313" s="25" t="str">
        <f ca="1">IFERROR(__xludf.DUMMYFUNCTION("""COMPUTED_VALUE"""),"Prioridad 3")</f>
        <v>Prioridad 3</v>
      </c>
      <c r="J1313" s="45"/>
    </row>
    <row r="1314" spans="2:10" ht="15.75" customHeight="1">
      <c r="B1314" s="25" t="str">
        <f ca="1">IFERROR(__xludf.DUMMYFUNCTION("""COMPUTED_VALUE"""),"MUNICIPALIDAD DISTRITAL")</f>
        <v>MUNICIPALIDAD DISTRITAL</v>
      </c>
      <c r="C1314" s="25" t="str">
        <f ca="1">IFERROR(__xludf.DUMMYFUNCTION("""COMPUTED_VALUE"""),"MUNICIPALIDAD DISTRITAL DE MOTUPE")</f>
        <v>MUNICIPALIDAD DISTRITAL DE MOTUPE</v>
      </c>
      <c r="D1314" s="25" t="str">
        <f ca="1">IFERROR(__xludf.DUMMYFUNCTION("""COMPUTED_VALUE"""),"LAMBAYEQUE")</f>
        <v>LAMBAYEQUE</v>
      </c>
      <c r="E1314" s="25" t="str">
        <f ca="1">IFERROR(__xludf.DUMMYFUNCTION("""COMPUTED_VALUE"""),"LAMBAYEQUE")</f>
        <v>LAMBAYEQUE</v>
      </c>
      <c r="F1314" s="25" t="str">
        <f ca="1">IFERROR(__xludf.DUMMYFUNCTION("""COMPUTED_VALUE"""),"LAMBAYEQUE")</f>
        <v>LAMBAYEQUE</v>
      </c>
      <c r="G1314" s="25" t="str">
        <f ca="1">IFERROR(__xludf.DUMMYFUNCTION("""COMPUTED_VALUE"""),"MOTUPE")</f>
        <v>MOTUPE</v>
      </c>
      <c r="H1314" s="25" t="str">
        <f ca="1">IFERROR(__xludf.DUMMYFUNCTION("""COMPUTED_VALUE"""),"RURAL")</f>
        <v>RURAL</v>
      </c>
      <c r="I1314" s="25" t="str">
        <f ca="1">IFERROR(__xludf.DUMMYFUNCTION("""COMPUTED_VALUE"""),"Prioridad 2")</f>
        <v>Prioridad 2</v>
      </c>
      <c r="J1314" s="45"/>
    </row>
    <row r="1315" spans="2:10" ht="15.75" customHeight="1">
      <c r="B1315" s="25" t="str">
        <f ca="1">IFERROR(__xludf.DUMMYFUNCTION("""COMPUTED_VALUE"""),"MUNICIPALIDAD DISTRITAL")</f>
        <v>MUNICIPALIDAD DISTRITAL</v>
      </c>
      <c r="C1315" s="25" t="str">
        <f ca="1">IFERROR(__xludf.DUMMYFUNCTION("""COMPUTED_VALUE"""),"MUNICIPALIDAD DISTRITAL DE PACORA")</f>
        <v>MUNICIPALIDAD DISTRITAL DE PACORA</v>
      </c>
      <c r="D1315" s="25" t="str">
        <f ca="1">IFERROR(__xludf.DUMMYFUNCTION("""COMPUTED_VALUE"""),"LAMBAYEQUE")</f>
        <v>LAMBAYEQUE</v>
      </c>
      <c r="E1315" s="25" t="str">
        <f ca="1">IFERROR(__xludf.DUMMYFUNCTION("""COMPUTED_VALUE"""),"LAMBAYEQUE")</f>
        <v>LAMBAYEQUE</v>
      </c>
      <c r="F1315" s="25" t="str">
        <f ca="1">IFERROR(__xludf.DUMMYFUNCTION("""COMPUTED_VALUE"""),"LAMBAYEQUE")</f>
        <v>LAMBAYEQUE</v>
      </c>
      <c r="G1315" s="25" t="str">
        <f ca="1">IFERROR(__xludf.DUMMYFUNCTION("""COMPUTED_VALUE"""),"PACORA")</f>
        <v>PACORA</v>
      </c>
      <c r="H1315" s="25" t="str">
        <f ca="1">IFERROR(__xludf.DUMMYFUNCTION("""COMPUTED_VALUE"""),"URBANO")</f>
        <v>URBANO</v>
      </c>
      <c r="I1315" s="25" t="str">
        <f ca="1">IFERROR(__xludf.DUMMYFUNCTION("""COMPUTED_VALUE"""),"Prioridad 3")</f>
        <v>Prioridad 3</v>
      </c>
      <c r="J1315" s="45"/>
    </row>
    <row r="1316" spans="2:10" ht="15.75" customHeight="1">
      <c r="B1316" s="25" t="str">
        <f ca="1">IFERROR(__xludf.DUMMYFUNCTION("""COMPUTED_VALUE"""),"MUNICIPALIDAD DISTRITAL")</f>
        <v>MUNICIPALIDAD DISTRITAL</v>
      </c>
      <c r="C1316" s="25" t="str">
        <f ca="1">IFERROR(__xludf.DUMMYFUNCTION("""COMPUTED_VALUE"""),"MUNICIPALIDAD DISTRITAL DE TUCUME")</f>
        <v>MUNICIPALIDAD DISTRITAL DE TUCUME</v>
      </c>
      <c r="D1316" s="25" t="str">
        <f ca="1">IFERROR(__xludf.DUMMYFUNCTION("""COMPUTED_VALUE"""),"LAMBAYEQUE")</f>
        <v>LAMBAYEQUE</v>
      </c>
      <c r="E1316" s="25" t="str">
        <f ca="1">IFERROR(__xludf.DUMMYFUNCTION("""COMPUTED_VALUE"""),"LAMBAYEQUE")</f>
        <v>LAMBAYEQUE</v>
      </c>
      <c r="F1316" s="25" t="str">
        <f ca="1">IFERROR(__xludf.DUMMYFUNCTION("""COMPUTED_VALUE"""),"LAMBAYEQUE")</f>
        <v>LAMBAYEQUE</v>
      </c>
      <c r="G1316" s="25" t="str">
        <f ca="1">IFERROR(__xludf.DUMMYFUNCTION("""COMPUTED_VALUE"""),"TUCUME")</f>
        <v>TUCUME</v>
      </c>
      <c r="H1316" s="25" t="str">
        <f ca="1">IFERROR(__xludf.DUMMYFUNCTION("""COMPUTED_VALUE"""),"RURAL")</f>
        <v>RURAL</v>
      </c>
      <c r="I1316" s="25" t="str">
        <f ca="1">IFERROR(__xludf.DUMMYFUNCTION("""COMPUTED_VALUE"""),"Prioridad 2")</f>
        <v>Prioridad 2</v>
      </c>
      <c r="J1316" s="45"/>
    </row>
    <row r="1317" spans="2:10" ht="15.75" customHeight="1">
      <c r="B1317" s="25" t="str">
        <f ca="1">IFERROR(__xludf.DUMMYFUNCTION("""COMPUTED_VALUE"""),"MUNICIPALIDAD DISTRITAL")</f>
        <v>MUNICIPALIDAD DISTRITAL</v>
      </c>
      <c r="C1317" s="25" t="str">
        <f ca="1">IFERROR(__xludf.DUMMYFUNCTION("""COMPUTED_VALUE"""),"MUNICIPALIDAD DISTRITAL DE CHOCHOPE")</f>
        <v>MUNICIPALIDAD DISTRITAL DE CHOCHOPE</v>
      </c>
      <c r="D1317" s="25" t="str">
        <f ca="1">IFERROR(__xludf.DUMMYFUNCTION("""COMPUTED_VALUE"""),"LAMBAYEQUE")</f>
        <v>LAMBAYEQUE</v>
      </c>
      <c r="E1317" s="25" t="str">
        <f ca="1">IFERROR(__xludf.DUMMYFUNCTION("""COMPUTED_VALUE"""),"LAMBAYEQUE")</f>
        <v>LAMBAYEQUE</v>
      </c>
      <c r="F1317" s="25" t="str">
        <f ca="1">IFERROR(__xludf.DUMMYFUNCTION("""COMPUTED_VALUE"""),"LAMBAYEQUE")</f>
        <v>LAMBAYEQUE</v>
      </c>
      <c r="G1317" s="25" t="str">
        <f ca="1">IFERROR(__xludf.DUMMYFUNCTION("""COMPUTED_VALUE"""),"CHOCHOPE")</f>
        <v>CHOCHOPE</v>
      </c>
      <c r="H1317" s="25" t="str">
        <f ca="1">IFERROR(__xludf.DUMMYFUNCTION("""COMPUTED_VALUE"""),"RURAL")</f>
        <v>RURAL</v>
      </c>
      <c r="I1317" s="25" t="str">
        <f ca="1">IFERROR(__xludf.DUMMYFUNCTION("""COMPUTED_VALUE"""),"Prioridad 4")</f>
        <v>Prioridad 4</v>
      </c>
      <c r="J1317" s="45"/>
    </row>
    <row r="1318" spans="2:10" ht="15.75" customHeight="1">
      <c r="B1318" s="25" t="str">
        <f ca="1">IFERROR(__xludf.DUMMYFUNCTION("""COMPUTED_VALUE"""),"MUNICIPALIDAD DISTRITAL")</f>
        <v>MUNICIPALIDAD DISTRITAL</v>
      </c>
      <c r="C1318" s="25" t="str">
        <f ca="1">IFERROR(__xludf.DUMMYFUNCTION("""COMPUTED_VALUE"""),"MUNICIPALIDAD DISTRITAL DE MORROPE")</f>
        <v>MUNICIPALIDAD DISTRITAL DE MORROPE</v>
      </c>
      <c r="D1318" s="25" t="str">
        <f ca="1">IFERROR(__xludf.DUMMYFUNCTION("""COMPUTED_VALUE"""),"LAMBAYEQUE")</f>
        <v>LAMBAYEQUE</v>
      </c>
      <c r="E1318" s="25" t="str">
        <f ca="1">IFERROR(__xludf.DUMMYFUNCTION("""COMPUTED_VALUE"""),"LAMBAYEQUE")</f>
        <v>LAMBAYEQUE</v>
      </c>
      <c r="F1318" s="25" t="str">
        <f ca="1">IFERROR(__xludf.DUMMYFUNCTION("""COMPUTED_VALUE"""),"LAMBAYEQUE")</f>
        <v>LAMBAYEQUE</v>
      </c>
      <c r="G1318" s="25" t="str">
        <f ca="1">IFERROR(__xludf.DUMMYFUNCTION("""COMPUTED_VALUE"""),"MORROPE")</f>
        <v>MORROPE</v>
      </c>
      <c r="H1318" s="25" t="str">
        <f ca="1">IFERROR(__xludf.DUMMYFUNCTION("""COMPUTED_VALUE"""),"RURAL")</f>
        <v>RURAL</v>
      </c>
      <c r="I1318" s="25" t="str">
        <f ca="1">IFERROR(__xludf.DUMMYFUNCTION("""COMPUTED_VALUE"""),"Prioridad 3")</f>
        <v>Prioridad 3</v>
      </c>
      <c r="J1318" s="45"/>
    </row>
    <row r="1319" spans="2:10" ht="15.75" customHeight="1">
      <c r="B1319" s="25" t="str">
        <f ca="1">IFERROR(__xludf.DUMMYFUNCTION("""COMPUTED_VALUE"""),"MUNICIPALIDAD DISTRITAL")</f>
        <v>MUNICIPALIDAD DISTRITAL</v>
      </c>
      <c r="C1319" s="25" t="str">
        <f ca="1">IFERROR(__xludf.DUMMYFUNCTION("""COMPUTED_VALUE"""),"MUNICIPALIDAD DISTRITAL DE OLMOS")</f>
        <v>MUNICIPALIDAD DISTRITAL DE OLMOS</v>
      </c>
      <c r="D1319" s="25" t="str">
        <f ca="1">IFERROR(__xludf.DUMMYFUNCTION("""COMPUTED_VALUE"""),"LAMBAYEQUE")</f>
        <v>LAMBAYEQUE</v>
      </c>
      <c r="E1319" s="25" t="str">
        <f ca="1">IFERROR(__xludf.DUMMYFUNCTION("""COMPUTED_VALUE"""),"LAMBAYEQUE")</f>
        <v>LAMBAYEQUE</v>
      </c>
      <c r="F1319" s="25" t="str">
        <f ca="1">IFERROR(__xludf.DUMMYFUNCTION("""COMPUTED_VALUE"""),"LAMBAYEQUE")</f>
        <v>LAMBAYEQUE</v>
      </c>
      <c r="G1319" s="25" t="str">
        <f ca="1">IFERROR(__xludf.DUMMYFUNCTION("""COMPUTED_VALUE"""),"OLMOS")</f>
        <v>OLMOS</v>
      </c>
      <c r="H1319" s="25" t="str">
        <f ca="1">IFERROR(__xludf.DUMMYFUNCTION("""COMPUTED_VALUE"""),"RURAL")</f>
        <v>RURAL</v>
      </c>
      <c r="I1319" s="25" t="str">
        <f ca="1">IFERROR(__xludf.DUMMYFUNCTION("""COMPUTED_VALUE"""),"Prioridad 3")</f>
        <v>Prioridad 3</v>
      </c>
      <c r="J1319" s="45"/>
    </row>
    <row r="1320" spans="2:10" ht="15.75" customHeight="1">
      <c r="B1320" s="25" t="str">
        <f ca="1">IFERROR(__xludf.DUMMYFUNCTION("""COMPUTED_VALUE"""),"MUNICIPALIDAD DISTRITAL")</f>
        <v>MUNICIPALIDAD DISTRITAL</v>
      </c>
      <c r="C1320" s="25" t="str">
        <f ca="1">IFERROR(__xludf.DUMMYFUNCTION("""COMPUTED_VALUE"""),"MUNICIPALIDAD DISTRITAL DE SALAS EN LAMBAYEQUE")</f>
        <v>MUNICIPALIDAD DISTRITAL DE SALAS EN LAMBAYEQUE</v>
      </c>
      <c r="D1320" s="25" t="str">
        <f ca="1">IFERROR(__xludf.DUMMYFUNCTION("""COMPUTED_VALUE"""),"LAMBAYEQUE")</f>
        <v>LAMBAYEQUE</v>
      </c>
      <c r="E1320" s="25" t="str">
        <f ca="1">IFERROR(__xludf.DUMMYFUNCTION("""COMPUTED_VALUE"""),"LAMBAYEQUE")</f>
        <v>LAMBAYEQUE</v>
      </c>
      <c r="F1320" s="25" t="str">
        <f ca="1">IFERROR(__xludf.DUMMYFUNCTION("""COMPUTED_VALUE"""),"LAMBAYEQUE")</f>
        <v>LAMBAYEQUE</v>
      </c>
      <c r="G1320" s="25" t="str">
        <f ca="1">IFERROR(__xludf.DUMMYFUNCTION("""COMPUTED_VALUE"""),"SALAS")</f>
        <v>SALAS</v>
      </c>
      <c r="H1320" s="25" t="str">
        <f ca="1">IFERROR(__xludf.DUMMYFUNCTION("""COMPUTED_VALUE"""),"RURAL")</f>
        <v>RURAL</v>
      </c>
      <c r="I1320" s="25" t="str">
        <f ca="1">IFERROR(__xludf.DUMMYFUNCTION("""COMPUTED_VALUE"""),"Prioridad 5")</f>
        <v>Prioridad 5</v>
      </c>
      <c r="J1320" s="45"/>
    </row>
    <row r="1321" spans="2:10" ht="15.75" customHeight="1">
      <c r="B1321" s="25" t="str">
        <f ca="1">IFERROR(__xludf.DUMMYFUNCTION("""COMPUTED_VALUE"""),"MUNICIPALIDAD PROVINCIAL")</f>
        <v>MUNICIPALIDAD PROVINCIAL</v>
      </c>
      <c r="C1321" s="25" t="str">
        <f ca="1">IFERROR(__xludf.DUMMYFUNCTION("""COMPUTED_VALUE"""),"MUNICIPALIDAD PROVINCIAL DE BARRANCA")</f>
        <v>MUNICIPALIDAD PROVINCIAL DE BARRANCA</v>
      </c>
      <c r="D1321" s="25" t="str">
        <f ca="1">IFERROR(__xludf.DUMMYFUNCTION("""COMPUTED_VALUE"""),"SEDE CENTRAL")</f>
        <v>SEDE CENTRAL</v>
      </c>
      <c r="E1321" s="25" t="str">
        <f ca="1">IFERROR(__xludf.DUMMYFUNCTION("""COMPUTED_VALUE"""),"LIMA")</f>
        <v>LIMA</v>
      </c>
      <c r="F1321" s="25" t="str">
        <f ca="1">IFERROR(__xludf.DUMMYFUNCTION("""COMPUTED_VALUE"""),"BARRANCA")</f>
        <v>BARRANCA</v>
      </c>
      <c r="G1321" s="25" t="str">
        <f ca="1">IFERROR(__xludf.DUMMYFUNCTION("""COMPUTED_VALUE"""),"BARRANCA")</f>
        <v>BARRANCA</v>
      </c>
      <c r="H1321" s="25" t="str">
        <f ca="1">IFERROR(__xludf.DUMMYFUNCTION("""COMPUTED_VALUE"""),"URBANO")</f>
        <v>URBANO</v>
      </c>
      <c r="I1321" s="25" t="str">
        <f ca="1">IFERROR(__xludf.DUMMYFUNCTION("""COMPUTED_VALUE"""),"Prioridad 1")</f>
        <v>Prioridad 1</v>
      </c>
      <c r="J1321" s="45"/>
    </row>
    <row r="1322" spans="2:10" ht="15.75" customHeight="1">
      <c r="B1322" s="25" t="str">
        <f ca="1">IFERROR(__xludf.DUMMYFUNCTION("""COMPUTED_VALUE"""),"MUNICIPALIDAD DISTRITAL")</f>
        <v>MUNICIPALIDAD DISTRITAL</v>
      </c>
      <c r="C1322" s="25" t="str">
        <f ca="1">IFERROR(__xludf.DUMMYFUNCTION("""COMPUTED_VALUE"""),"MUNICIPALIDAD DISTRITAL DE PARAMONGA")</f>
        <v>MUNICIPALIDAD DISTRITAL DE PARAMONGA</v>
      </c>
      <c r="D1322" s="25" t="str">
        <f ca="1">IFERROR(__xludf.DUMMYFUNCTION("""COMPUTED_VALUE"""),"SEDE CENTRAL")</f>
        <v>SEDE CENTRAL</v>
      </c>
      <c r="E1322" s="25" t="str">
        <f ca="1">IFERROR(__xludf.DUMMYFUNCTION("""COMPUTED_VALUE"""),"LIMA")</f>
        <v>LIMA</v>
      </c>
      <c r="F1322" s="25" t="str">
        <f ca="1">IFERROR(__xludf.DUMMYFUNCTION("""COMPUTED_VALUE"""),"BARRANCA")</f>
        <v>BARRANCA</v>
      </c>
      <c r="G1322" s="25" t="str">
        <f ca="1">IFERROR(__xludf.DUMMYFUNCTION("""COMPUTED_VALUE"""),"PARAMONGA")</f>
        <v>PARAMONGA</v>
      </c>
      <c r="H1322" s="25" t="str">
        <f ca="1">IFERROR(__xludf.DUMMYFUNCTION("""COMPUTED_VALUE"""),"URBANO")</f>
        <v>URBANO</v>
      </c>
      <c r="I1322" s="25" t="str">
        <f ca="1">IFERROR(__xludf.DUMMYFUNCTION("""COMPUTED_VALUE"""),"Prioridad 3")</f>
        <v>Prioridad 3</v>
      </c>
      <c r="J1322" s="45"/>
    </row>
    <row r="1323" spans="2:10" ht="15.75" customHeight="1">
      <c r="B1323" s="25" t="str">
        <f ca="1">IFERROR(__xludf.DUMMYFUNCTION("""COMPUTED_VALUE"""),"MUNICIPALIDAD DISTRITAL")</f>
        <v>MUNICIPALIDAD DISTRITAL</v>
      </c>
      <c r="C1323" s="25" t="str">
        <f ca="1">IFERROR(__xludf.DUMMYFUNCTION("""COMPUTED_VALUE"""),"MUNICIPALIDAD DISTRITAL DE PATIVILCA")</f>
        <v>MUNICIPALIDAD DISTRITAL DE PATIVILCA</v>
      </c>
      <c r="D1323" s="25" t="str">
        <f ca="1">IFERROR(__xludf.DUMMYFUNCTION("""COMPUTED_VALUE"""),"SEDE CENTRAL")</f>
        <v>SEDE CENTRAL</v>
      </c>
      <c r="E1323" s="25" t="str">
        <f ca="1">IFERROR(__xludf.DUMMYFUNCTION("""COMPUTED_VALUE"""),"LIMA")</f>
        <v>LIMA</v>
      </c>
      <c r="F1323" s="25" t="str">
        <f ca="1">IFERROR(__xludf.DUMMYFUNCTION("""COMPUTED_VALUE"""),"BARRANCA")</f>
        <v>BARRANCA</v>
      </c>
      <c r="G1323" s="25" t="str">
        <f ca="1">IFERROR(__xludf.DUMMYFUNCTION("""COMPUTED_VALUE"""),"PATIVILCA")</f>
        <v>PATIVILCA</v>
      </c>
      <c r="H1323" s="25" t="str">
        <f ca="1">IFERROR(__xludf.DUMMYFUNCTION("""COMPUTED_VALUE"""),"URBANO")</f>
        <v>URBANO</v>
      </c>
      <c r="I1323" s="25" t="str">
        <f ca="1">IFERROR(__xludf.DUMMYFUNCTION("""COMPUTED_VALUE"""),"Prioridad 2")</f>
        <v>Prioridad 2</v>
      </c>
      <c r="J1323" s="45"/>
    </row>
    <row r="1324" spans="2:10" ht="15.75" customHeight="1">
      <c r="B1324" s="25" t="str">
        <f ca="1">IFERROR(__xludf.DUMMYFUNCTION("""COMPUTED_VALUE"""),"MUNICIPALIDAD DISTRITAL")</f>
        <v>MUNICIPALIDAD DISTRITAL</v>
      </c>
      <c r="C1324" s="25" t="str">
        <f ca="1">IFERROR(__xludf.DUMMYFUNCTION("""COMPUTED_VALUE"""),"MUNICIPALIDAD DISTRITAL DE SUPE PUERTO")</f>
        <v>MUNICIPALIDAD DISTRITAL DE SUPE PUERTO</v>
      </c>
      <c r="D1324" s="25" t="str">
        <f ca="1">IFERROR(__xludf.DUMMYFUNCTION("""COMPUTED_VALUE"""),"SEDE CENTRAL")</f>
        <v>SEDE CENTRAL</v>
      </c>
      <c r="E1324" s="25" t="str">
        <f ca="1">IFERROR(__xludf.DUMMYFUNCTION("""COMPUTED_VALUE"""),"LIMA")</f>
        <v>LIMA</v>
      </c>
      <c r="F1324" s="25" t="str">
        <f ca="1">IFERROR(__xludf.DUMMYFUNCTION("""COMPUTED_VALUE"""),"BARRANCA")</f>
        <v>BARRANCA</v>
      </c>
      <c r="G1324" s="25" t="str">
        <f ca="1">IFERROR(__xludf.DUMMYFUNCTION("""COMPUTED_VALUE"""),"SUPE PUERTO")</f>
        <v>SUPE PUERTO</v>
      </c>
      <c r="H1324" s="25" t="str">
        <f ca="1">IFERROR(__xludf.DUMMYFUNCTION("""COMPUTED_VALUE"""),"URBANO")</f>
        <v>URBANO</v>
      </c>
      <c r="I1324" s="25" t="str">
        <f ca="1">IFERROR(__xludf.DUMMYFUNCTION("""COMPUTED_VALUE"""),"Prioridad 3")</f>
        <v>Prioridad 3</v>
      </c>
      <c r="J1324" s="45"/>
    </row>
    <row r="1325" spans="2:10" ht="15.75" customHeight="1">
      <c r="B1325" s="25" t="str">
        <f ca="1">IFERROR(__xludf.DUMMYFUNCTION("""COMPUTED_VALUE"""),"MUNICIPALIDAD DISTRITAL")</f>
        <v>MUNICIPALIDAD DISTRITAL</v>
      </c>
      <c r="C1325" s="25" t="str">
        <f ca="1">IFERROR(__xludf.DUMMYFUNCTION("""COMPUTED_VALUE"""),"MUNICIPALIDAD DISTRITAL DE SUPE")</f>
        <v>MUNICIPALIDAD DISTRITAL DE SUPE</v>
      </c>
      <c r="D1325" s="25" t="str">
        <f ca="1">IFERROR(__xludf.DUMMYFUNCTION("""COMPUTED_VALUE"""),"SEDE CENTRAL")</f>
        <v>SEDE CENTRAL</v>
      </c>
      <c r="E1325" s="25" t="str">
        <f ca="1">IFERROR(__xludf.DUMMYFUNCTION("""COMPUTED_VALUE"""),"LIMA")</f>
        <v>LIMA</v>
      </c>
      <c r="F1325" s="25" t="str">
        <f ca="1">IFERROR(__xludf.DUMMYFUNCTION("""COMPUTED_VALUE"""),"BARRANCA")</f>
        <v>BARRANCA</v>
      </c>
      <c r="G1325" s="25" t="str">
        <f ca="1">IFERROR(__xludf.DUMMYFUNCTION("""COMPUTED_VALUE"""),"SUPE")</f>
        <v>SUPE</v>
      </c>
      <c r="H1325" s="25" t="str">
        <f ca="1">IFERROR(__xludf.DUMMYFUNCTION("""COMPUTED_VALUE"""),"URBANO")</f>
        <v>URBANO</v>
      </c>
      <c r="I1325" s="25" t="str">
        <f ca="1">IFERROR(__xludf.DUMMYFUNCTION("""COMPUTED_VALUE"""),"Prioridad 2")</f>
        <v>Prioridad 2</v>
      </c>
      <c r="J1325" s="45"/>
    </row>
    <row r="1326" spans="2:10" ht="15.75" customHeight="1">
      <c r="B1326" s="25" t="str">
        <f ca="1">IFERROR(__xludf.DUMMYFUNCTION("""COMPUTED_VALUE"""),"MUNICIPALIDAD PROVINCIAL")</f>
        <v>MUNICIPALIDAD PROVINCIAL</v>
      </c>
      <c r="C1326" s="25" t="str">
        <f ca="1">IFERROR(__xludf.DUMMYFUNCTION("""COMPUTED_VALUE"""),"MUNICIPALIDAD PROVINCIAL DE CAJATAMBO")</f>
        <v>MUNICIPALIDAD PROVINCIAL DE CAJATAMBO</v>
      </c>
      <c r="D1326" s="25" t="str">
        <f ca="1">IFERROR(__xludf.DUMMYFUNCTION("""COMPUTED_VALUE"""),"SEDE CENTRAL")</f>
        <v>SEDE CENTRAL</v>
      </c>
      <c r="E1326" s="25" t="str">
        <f ca="1">IFERROR(__xludf.DUMMYFUNCTION("""COMPUTED_VALUE"""),"LIMA")</f>
        <v>LIMA</v>
      </c>
      <c r="F1326" s="25" t="str">
        <f ca="1">IFERROR(__xludf.DUMMYFUNCTION("""COMPUTED_VALUE"""),"CAJATAMBO")</f>
        <v>CAJATAMBO</v>
      </c>
      <c r="G1326" s="25" t="str">
        <f ca="1">IFERROR(__xludf.DUMMYFUNCTION("""COMPUTED_VALUE"""),"CAJATAMBO")</f>
        <v>CAJATAMBO</v>
      </c>
      <c r="H1326" s="25" t="str">
        <f ca="1">IFERROR(__xludf.DUMMYFUNCTION("""COMPUTED_VALUE"""),"RURAL")</f>
        <v>RURAL</v>
      </c>
      <c r="I1326" s="25" t="str">
        <f ca="1">IFERROR(__xludf.DUMMYFUNCTION("""COMPUTED_VALUE"""),"Prioridad 2")</f>
        <v>Prioridad 2</v>
      </c>
      <c r="J1326" s="45"/>
    </row>
    <row r="1327" spans="2:10" ht="15.75" customHeight="1">
      <c r="B1327" s="25" t="str">
        <f ca="1">IFERROR(__xludf.DUMMYFUNCTION("""COMPUTED_VALUE"""),"MUNICIPALIDAD DISTRITAL")</f>
        <v>MUNICIPALIDAD DISTRITAL</v>
      </c>
      <c r="C1327" s="25" t="str">
        <f ca="1">IFERROR(__xludf.DUMMYFUNCTION("""COMPUTED_VALUE"""),"MUNICIPALIDAD DISTRITAL DE COPA")</f>
        <v>MUNICIPALIDAD DISTRITAL DE COPA</v>
      </c>
      <c r="D1327" s="25" t="str">
        <f ca="1">IFERROR(__xludf.DUMMYFUNCTION("""COMPUTED_VALUE"""),"SEDE CENTRAL")</f>
        <v>SEDE CENTRAL</v>
      </c>
      <c r="E1327" s="25" t="str">
        <f ca="1">IFERROR(__xludf.DUMMYFUNCTION("""COMPUTED_VALUE"""),"LIMA")</f>
        <v>LIMA</v>
      </c>
      <c r="F1327" s="25" t="str">
        <f ca="1">IFERROR(__xludf.DUMMYFUNCTION("""COMPUTED_VALUE"""),"CAJATAMBO")</f>
        <v>CAJATAMBO</v>
      </c>
      <c r="G1327" s="25" t="str">
        <f ca="1">IFERROR(__xludf.DUMMYFUNCTION("""COMPUTED_VALUE"""),"COPA")</f>
        <v>COPA</v>
      </c>
      <c r="H1327" s="25" t="str">
        <f ca="1">IFERROR(__xludf.DUMMYFUNCTION("""COMPUTED_VALUE"""),"RURAL")</f>
        <v>RURAL</v>
      </c>
      <c r="I1327" s="25" t="str">
        <f ca="1">IFERROR(__xludf.DUMMYFUNCTION("""COMPUTED_VALUE"""),"Prioridad 4")</f>
        <v>Prioridad 4</v>
      </c>
      <c r="J1327" s="45"/>
    </row>
    <row r="1328" spans="2:10" ht="15.75" customHeight="1">
      <c r="B1328" s="25" t="str">
        <f ca="1">IFERROR(__xludf.DUMMYFUNCTION("""COMPUTED_VALUE"""),"MUNICIPALIDAD DISTRITAL")</f>
        <v>MUNICIPALIDAD DISTRITAL</v>
      </c>
      <c r="C1328" s="25" t="str">
        <f ca="1">IFERROR(__xludf.DUMMYFUNCTION("""COMPUTED_VALUE"""),"MUNICIPALIDAD DISTRITAL DE GORGOR")</f>
        <v>MUNICIPALIDAD DISTRITAL DE GORGOR</v>
      </c>
      <c r="D1328" s="25" t="str">
        <f ca="1">IFERROR(__xludf.DUMMYFUNCTION("""COMPUTED_VALUE"""),"SEDE CENTRAL")</f>
        <v>SEDE CENTRAL</v>
      </c>
      <c r="E1328" s="25" t="str">
        <f ca="1">IFERROR(__xludf.DUMMYFUNCTION("""COMPUTED_VALUE"""),"LIMA")</f>
        <v>LIMA</v>
      </c>
      <c r="F1328" s="25" t="str">
        <f ca="1">IFERROR(__xludf.DUMMYFUNCTION("""COMPUTED_VALUE"""),"CAJATAMBO")</f>
        <v>CAJATAMBO</v>
      </c>
      <c r="G1328" s="25" t="str">
        <f ca="1">IFERROR(__xludf.DUMMYFUNCTION("""COMPUTED_VALUE"""),"GORGOR")</f>
        <v>GORGOR</v>
      </c>
      <c r="H1328" s="25" t="str">
        <f ca="1">IFERROR(__xludf.DUMMYFUNCTION("""COMPUTED_VALUE"""),"RURAL")</f>
        <v>RURAL</v>
      </c>
      <c r="I1328" s="25" t="str">
        <f ca="1">IFERROR(__xludf.DUMMYFUNCTION("""COMPUTED_VALUE"""),"Prioridad 5")</f>
        <v>Prioridad 5</v>
      </c>
      <c r="J1328" s="45"/>
    </row>
    <row r="1329" spans="2:10" ht="15.75" customHeight="1">
      <c r="B1329" s="25" t="str">
        <f ca="1">IFERROR(__xludf.DUMMYFUNCTION("""COMPUTED_VALUE"""),"MUNICIPALIDAD DISTRITAL")</f>
        <v>MUNICIPALIDAD DISTRITAL</v>
      </c>
      <c r="C1329" s="25" t="str">
        <f ca="1">IFERROR(__xludf.DUMMYFUNCTION("""COMPUTED_VALUE"""),"MUNICIPALIDAD DISTRITAL DE HUANCAPON")</f>
        <v>MUNICIPALIDAD DISTRITAL DE HUANCAPON</v>
      </c>
      <c r="D1329" s="25" t="str">
        <f ca="1">IFERROR(__xludf.DUMMYFUNCTION("""COMPUTED_VALUE"""),"SEDE CENTRAL")</f>
        <v>SEDE CENTRAL</v>
      </c>
      <c r="E1329" s="25" t="str">
        <f ca="1">IFERROR(__xludf.DUMMYFUNCTION("""COMPUTED_VALUE"""),"LIMA")</f>
        <v>LIMA</v>
      </c>
      <c r="F1329" s="25" t="str">
        <f ca="1">IFERROR(__xludf.DUMMYFUNCTION("""COMPUTED_VALUE"""),"CAJATAMBO")</f>
        <v>CAJATAMBO</v>
      </c>
      <c r="G1329" s="25" t="str">
        <f ca="1">IFERROR(__xludf.DUMMYFUNCTION("""COMPUTED_VALUE"""),"HUANCAPON")</f>
        <v>HUANCAPON</v>
      </c>
      <c r="H1329" s="25" t="str">
        <f ca="1">IFERROR(__xludf.DUMMYFUNCTION("""COMPUTED_VALUE"""),"RURAL")</f>
        <v>RURAL</v>
      </c>
      <c r="I1329" s="25" t="str">
        <f ca="1">IFERROR(__xludf.DUMMYFUNCTION("""COMPUTED_VALUE"""),"Prioridad 5")</f>
        <v>Prioridad 5</v>
      </c>
      <c r="J1329" s="45"/>
    </row>
    <row r="1330" spans="2:10" ht="15.75" customHeight="1">
      <c r="B1330" s="25" t="str">
        <f ca="1">IFERROR(__xludf.DUMMYFUNCTION("""COMPUTED_VALUE"""),"MUNICIPALIDAD DISTRITAL")</f>
        <v>MUNICIPALIDAD DISTRITAL</v>
      </c>
      <c r="C1330" s="25" t="str">
        <f ca="1">IFERROR(__xludf.DUMMYFUNCTION("""COMPUTED_VALUE"""),"MUNICIPALIDAD DISTRITAL DE MANAS")</f>
        <v>MUNICIPALIDAD DISTRITAL DE MANAS</v>
      </c>
      <c r="D1330" s="25" t="str">
        <f ca="1">IFERROR(__xludf.DUMMYFUNCTION("""COMPUTED_VALUE"""),"SEDE CENTRAL")</f>
        <v>SEDE CENTRAL</v>
      </c>
      <c r="E1330" s="25" t="str">
        <f ca="1">IFERROR(__xludf.DUMMYFUNCTION("""COMPUTED_VALUE"""),"LIMA")</f>
        <v>LIMA</v>
      </c>
      <c r="F1330" s="25" t="str">
        <f ca="1">IFERROR(__xludf.DUMMYFUNCTION("""COMPUTED_VALUE"""),"CAJATAMBO")</f>
        <v>CAJATAMBO</v>
      </c>
      <c r="G1330" s="25" t="str">
        <f ca="1">IFERROR(__xludf.DUMMYFUNCTION("""COMPUTED_VALUE"""),"MANAS")</f>
        <v>MANAS</v>
      </c>
      <c r="H1330" s="25" t="str">
        <f ca="1">IFERROR(__xludf.DUMMYFUNCTION("""COMPUTED_VALUE"""),"RURAL")</f>
        <v>RURAL</v>
      </c>
      <c r="I1330" s="25" t="str">
        <f ca="1">IFERROR(__xludf.DUMMYFUNCTION("""COMPUTED_VALUE"""),"Prioridad 3")</f>
        <v>Prioridad 3</v>
      </c>
      <c r="J1330" s="45"/>
    </row>
    <row r="1331" spans="2:10" ht="15.75" customHeight="1">
      <c r="B1331" s="25" t="str">
        <f ca="1">IFERROR(__xludf.DUMMYFUNCTION("""COMPUTED_VALUE"""),"MUNICIPALIDAD PROVINCIAL")</f>
        <v>MUNICIPALIDAD PROVINCIAL</v>
      </c>
      <c r="C1331" s="25" t="str">
        <f ca="1">IFERROR(__xludf.DUMMYFUNCTION("""COMPUTED_VALUE"""),"MUNICIPALIDAD PROVINCIAL DE CANTA")</f>
        <v>MUNICIPALIDAD PROVINCIAL DE CANTA</v>
      </c>
      <c r="D1331" s="25" t="str">
        <f ca="1">IFERROR(__xludf.DUMMYFUNCTION("""COMPUTED_VALUE"""),"SEDE CENTRAL")</f>
        <v>SEDE CENTRAL</v>
      </c>
      <c r="E1331" s="25" t="str">
        <f ca="1">IFERROR(__xludf.DUMMYFUNCTION("""COMPUTED_VALUE"""),"LIMA")</f>
        <v>LIMA</v>
      </c>
      <c r="F1331" s="25" t="str">
        <f ca="1">IFERROR(__xludf.DUMMYFUNCTION("""COMPUTED_VALUE"""),"CANTA")</f>
        <v>CANTA</v>
      </c>
      <c r="G1331" s="25" t="str">
        <f ca="1">IFERROR(__xludf.DUMMYFUNCTION("""COMPUTED_VALUE"""),"CANTA")</f>
        <v>CANTA</v>
      </c>
      <c r="H1331" s="25" t="str">
        <f ca="1">IFERROR(__xludf.DUMMYFUNCTION("""COMPUTED_VALUE"""),"URBANO")</f>
        <v>URBANO</v>
      </c>
      <c r="I1331" s="25" t="str">
        <f ca="1">IFERROR(__xludf.DUMMYFUNCTION("""COMPUTED_VALUE"""),"Prioridad 1")</f>
        <v>Prioridad 1</v>
      </c>
      <c r="J1331" s="45"/>
    </row>
    <row r="1332" spans="2:10" ht="15.75" customHeight="1">
      <c r="B1332" s="25" t="str">
        <f ca="1">IFERROR(__xludf.DUMMYFUNCTION("""COMPUTED_VALUE"""),"MUNICIPALIDAD DISTRITAL")</f>
        <v>MUNICIPALIDAD DISTRITAL</v>
      </c>
      <c r="C1332" s="25" t="str">
        <f ca="1">IFERROR(__xludf.DUMMYFUNCTION("""COMPUTED_VALUE"""),"MUNICIPALIDAD DISTRITAL DE ARAHUAY")</f>
        <v>MUNICIPALIDAD DISTRITAL DE ARAHUAY</v>
      </c>
      <c r="D1332" s="25" t="str">
        <f ca="1">IFERROR(__xludf.DUMMYFUNCTION("""COMPUTED_VALUE"""),"SEDE CENTRAL")</f>
        <v>SEDE CENTRAL</v>
      </c>
      <c r="E1332" s="25" t="str">
        <f ca="1">IFERROR(__xludf.DUMMYFUNCTION("""COMPUTED_VALUE"""),"LIMA")</f>
        <v>LIMA</v>
      </c>
      <c r="F1332" s="25" t="str">
        <f ca="1">IFERROR(__xludf.DUMMYFUNCTION("""COMPUTED_VALUE"""),"CANTA")</f>
        <v>CANTA</v>
      </c>
      <c r="G1332" s="25" t="str">
        <f ca="1">IFERROR(__xludf.DUMMYFUNCTION("""COMPUTED_VALUE"""),"ARAHUAY")</f>
        <v>ARAHUAY</v>
      </c>
      <c r="H1332" s="25" t="str">
        <f ca="1">IFERROR(__xludf.DUMMYFUNCTION("""COMPUTED_VALUE"""),"RURAL")</f>
        <v>RURAL</v>
      </c>
      <c r="I1332" s="25" t="str">
        <f ca="1">IFERROR(__xludf.DUMMYFUNCTION("""COMPUTED_VALUE"""),"Prioridad 5")</f>
        <v>Prioridad 5</v>
      </c>
      <c r="J1332" s="45"/>
    </row>
    <row r="1333" spans="2:10" ht="15.75" customHeight="1">
      <c r="B1333" s="25" t="str">
        <f ca="1">IFERROR(__xludf.DUMMYFUNCTION("""COMPUTED_VALUE"""),"MUNICIPALIDAD DISTRITAL")</f>
        <v>MUNICIPALIDAD DISTRITAL</v>
      </c>
      <c r="C1333" s="25" t="str">
        <f ca="1">IFERROR(__xludf.DUMMYFUNCTION("""COMPUTED_VALUE"""),"MUNICIPALIDAD DISTRITAL DE HUAMANTANGA")</f>
        <v>MUNICIPALIDAD DISTRITAL DE HUAMANTANGA</v>
      </c>
      <c r="D1333" s="25" t="str">
        <f ca="1">IFERROR(__xludf.DUMMYFUNCTION("""COMPUTED_VALUE"""),"SEDE CENTRAL")</f>
        <v>SEDE CENTRAL</v>
      </c>
      <c r="E1333" s="25" t="str">
        <f ca="1">IFERROR(__xludf.DUMMYFUNCTION("""COMPUTED_VALUE"""),"LIMA")</f>
        <v>LIMA</v>
      </c>
      <c r="F1333" s="25" t="str">
        <f ca="1">IFERROR(__xludf.DUMMYFUNCTION("""COMPUTED_VALUE"""),"CANTA")</f>
        <v>CANTA</v>
      </c>
      <c r="G1333" s="25" t="str">
        <f ca="1">IFERROR(__xludf.DUMMYFUNCTION("""COMPUTED_VALUE"""),"HUAMANTANGA")</f>
        <v>HUAMANTANGA</v>
      </c>
      <c r="H1333" s="25" t="str">
        <f ca="1">IFERROR(__xludf.DUMMYFUNCTION("""COMPUTED_VALUE"""),"RURAL")</f>
        <v>RURAL</v>
      </c>
      <c r="I1333" s="25" t="str">
        <f ca="1">IFERROR(__xludf.DUMMYFUNCTION("""COMPUTED_VALUE"""),"Prioridad 5")</f>
        <v>Prioridad 5</v>
      </c>
      <c r="J1333" s="45"/>
    </row>
    <row r="1334" spans="2:10" ht="15.75" customHeight="1">
      <c r="B1334" s="25" t="str">
        <f ca="1">IFERROR(__xludf.DUMMYFUNCTION("""COMPUTED_VALUE"""),"MUNICIPALIDAD DISTRITAL")</f>
        <v>MUNICIPALIDAD DISTRITAL</v>
      </c>
      <c r="C1334" s="25" t="str">
        <f ca="1">IFERROR(__xludf.DUMMYFUNCTION("""COMPUTED_VALUE"""),"MUNICIPALIDAD DISTRITAL DE HUAROS")</f>
        <v>MUNICIPALIDAD DISTRITAL DE HUAROS</v>
      </c>
      <c r="D1334" s="25" t="str">
        <f ca="1">IFERROR(__xludf.DUMMYFUNCTION("""COMPUTED_VALUE"""),"SEDE CENTRAL")</f>
        <v>SEDE CENTRAL</v>
      </c>
      <c r="E1334" s="25" t="str">
        <f ca="1">IFERROR(__xludf.DUMMYFUNCTION("""COMPUTED_VALUE"""),"LIMA")</f>
        <v>LIMA</v>
      </c>
      <c r="F1334" s="25" t="str">
        <f ca="1">IFERROR(__xludf.DUMMYFUNCTION("""COMPUTED_VALUE"""),"CANTA")</f>
        <v>CANTA</v>
      </c>
      <c r="G1334" s="25" t="str">
        <f ca="1">IFERROR(__xludf.DUMMYFUNCTION("""COMPUTED_VALUE"""),"HUAROS")</f>
        <v>HUAROS</v>
      </c>
      <c r="H1334" s="25" t="str">
        <f ca="1">IFERROR(__xludf.DUMMYFUNCTION("""COMPUTED_VALUE"""),"RURAL")</f>
        <v>RURAL</v>
      </c>
      <c r="I1334" s="25" t="str">
        <f ca="1">IFERROR(__xludf.DUMMYFUNCTION("""COMPUTED_VALUE"""),"Prioridad 2")</f>
        <v>Prioridad 2</v>
      </c>
      <c r="J1334" s="45"/>
    </row>
    <row r="1335" spans="2:10" ht="15.75" customHeight="1">
      <c r="B1335" s="25" t="str">
        <f ca="1">IFERROR(__xludf.DUMMYFUNCTION("""COMPUTED_VALUE"""),"MUNICIPALIDAD DISTRITAL")</f>
        <v>MUNICIPALIDAD DISTRITAL</v>
      </c>
      <c r="C1335" s="25" t="str">
        <f ca="1">IFERROR(__xludf.DUMMYFUNCTION("""COMPUTED_VALUE"""),"MUNICIPALIDAD DISTRITAL DE LACHAQUI")</f>
        <v>MUNICIPALIDAD DISTRITAL DE LACHAQUI</v>
      </c>
      <c r="D1335" s="25" t="str">
        <f ca="1">IFERROR(__xludf.DUMMYFUNCTION("""COMPUTED_VALUE"""),"SEDE CENTRAL")</f>
        <v>SEDE CENTRAL</v>
      </c>
      <c r="E1335" s="25" t="str">
        <f ca="1">IFERROR(__xludf.DUMMYFUNCTION("""COMPUTED_VALUE"""),"LIMA")</f>
        <v>LIMA</v>
      </c>
      <c r="F1335" s="25" t="str">
        <f ca="1">IFERROR(__xludf.DUMMYFUNCTION("""COMPUTED_VALUE"""),"CANTA")</f>
        <v>CANTA</v>
      </c>
      <c r="G1335" s="25" t="str">
        <f ca="1">IFERROR(__xludf.DUMMYFUNCTION("""COMPUTED_VALUE"""),"LACHAQUI")</f>
        <v>LACHAQUI</v>
      </c>
      <c r="H1335" s="25" t="str">
        <f ca="1">IFERROR(__xludf.DUMMYFUNCTION("""COMPUTED_VALUE"""),"RURAL")</f>
        <v>RURAL</v>
      </c>
      <c r="I1335" s="25" t="str">
        <f ca="1">IFERROR(__xludf.DUMMYFUNCTION("""COMPUTED_VALUE"""),"Prioridad 4")</f>
        <v>Prioridad 4</v>
      </c>
      <c r="J1335" s="45"/>
    </row>
    <row r="1336" spans="2:10" ht="15.75" customHeight="1">
      <c r="B1336" s="25" t="str">
        <f ca="1">IFERROR(__xludf.DUMMYFUNCTION("""COMPUTED_VALUE"""),"MUNICIPALIDAD DISTRITAL")</f>
        <v>MUNICIPALIDAD DISTRITAL</v>
      </c>
      <c r="C1336" s="25" t="str">
        <f ca="1">IFERROR(__xludf.DUMMYFUNCTION("""COMPUTED_VALUE"""),"MUNICIPALIDAD DISTRITAL DE SAN BUENAVENTURA EN CANTA")</f>
        <v>MUNICIPALIDAD DISTRITAL DE SAN BUENAVENTURA EN CANTA</v>
      </c>
      <c r="D1336" s="25" t="str">
        <f ca="1">IFERROR(__xludf.DUMMYFUNCTION("""COMPUTED_VALUE"""),"SEDE CENTRAL")</f>
        <v>SEDE CENTRAL</v>
      </c>
      <c r="E1336" s="25" t="str">
        <f ca="1">IFERROR(__xludf.DUMMYFUNCTION("""COMPUTED_VALUE"""),"LIMA")</f>
        <v>LIMA</v>
      </c>
      <c r="F1336" s="25" t="str">
        <f ca="1">IFERROR(__xludf.DUMMYFUNCTION("""COMPUTED_VALUE"""),"CANTA")</f>
        <v>CANTA</v>
      </c>
      <c r="G1336" s="25" t="str">
        <f ca="1">IFERROR(__xludf.DUMMYFUNCTION("""COMPUTED_VALUE"""),"SAN BUENAVENTURA")</f>
        <v>SAN BUENAVENTURA</v>
      </c>
      <c r="H1336" s="25" t="str">
        <f ca="1">IFERROR(__xludf.DUMMYFUNCTION("""COMPUTED_VALUE"""),"RURAL")</f>
        <v>RURAL</v>
      </c>
      <c r="I1336" s="25" t="str">
        <f ca="1">IFERROR(__xludf.DUMMYFUNCTION("""COMPUTED_VALUE"""),"Prioridad 2")</f>
        <v>Prioridad 2</v>
      </c>
      <c r="J1336" s="45"/>
    </row>
    <row r="1337" spans="2:10" ht="15.75" customHeight="1">
      <c r="B1337" s="25" t="str">
        <f ca="1">IFERROR(__xludf.DUMMYFUNCTION("""COMPUTED_VALUE"""),"MUNICIPALIDAD DISTRITAL")</f>
        <v>MUNICIPALIDAD DISTRITAL</v>
      </c>
      <c r="C1337" s="25" t="str">
        <f ca="1">IFERROR(__xludf.DUMMYFUNCTION("""COMPUTED_VALUE"""),"MUNICIPALIDAD DISTRITAL DE SANTA ROSA DE QUIVES")</f>
        <v>MUNICIPALIDAD DISTRITAL DE SANTA ROSA DE QUIVES</v>
      </c>
      <c r="D1337" s="25" t="str">
        <f ca="1">IFERROR(__xludf.DUMMYFUNCTION("""COMPUTED_VALUE"""),"SEDE CENTRAL")</f>
        <v>SEDE CENTRAL</v>
      </c>
      <c r="E1337" s="25" t="str">
        <f ca="1">IFERROR(__xludf.DUMMYFUNCTION("""COMPUTED_VALUE"""),"LIMA")</f>
        <v>LIMA</v>
      </c>
      <c r="F1337" s="25" t="str">
        <f ca="1">IFERROR(__xludf.DUMMYFUNCTION("""COMPUTED_VALUE"""),"CANTA")</f>
        <v>CANTA</v>
      </c>
      <c r="G1337" s="25" t="str">
        <f ca="1">IFERROR(__xludf.DUMMYFUNCTION("""COMPUTED_VALUE"""),"SANTA ROSA DE QUIVES")</f>
        <v>SANTA ROSA DE QUIVES</v>
      </c>
      <c r="H1337" s="25" t="str">
        <f ca="1">IFERROR(__xludf.DUMMYFUNCTION("""COMPUTED_VALUE"""),"URBANO")</f>
        <v>URBANO</v>
      </c>
      <c r="I1337" s="25" t="str">
        <f ca="1">IFERROR(__xludf.DUMMYFUNCTION("""COMPUTED_VALUE"""),"Prioridad 3")</f>
        <v>Prioridad 3</v>
      </c>
      <c r="J1337" s="45"/>
    </row>
    <row r="1338" spans="2:10" ht="15.75" customHeight="1">
      <c r="B1338" s="25" t="str">
        <f ca="1">IFERROR(__xludf.DUMMYFUNCTION("""COMPUTED_VALUE"""),"MUNICIPALIDAD PROVINCIAL")</f>
        <v>MUNICIPALIDAD PROVINCIAL</v>
      </c>
      <c r="C1338" s="25" t="str">
        <f ca="1">IFERROR(__xludf.DUMMYFUNCTION("""COMPUTED_VALUE"""),"MUNICIPALIDAD PROVINCIAL DE CAÑETE")</f>
        <v>MUNICIPALIDAD PROVINCIAL DE CAÑETE</v>
      </c>
      <c r="D1338" s="25" t="str">
        <f ca="1">IFERROR(__xludf.DUMMYFUNCTION("""COMPUTED_VALUE"""),"SEDE CENTRAL")</f>
        <v>SEDE CENTRAL</v>
      </c>
      <c r="E1338" s="25" t="str">
        <f ca="1">IFERROR(__xludf.DUMMYFUNCTION("""COMPUTED_VALUE"""),"LIMA")</f>
        <v>LIMA</v>
      </c>
      <c r="F1338" s="25" t="str">
        <f ca="1">IFERROR(__xludf.DUMMYFUNCTION("""COMPUTED_VALUE"""),"CAÑETE")</f>
        <v>CAÑETE</v>
      </c>
      <c r="G1338" s="25" t="str">
        <f ca="1">IFERROR(__xludf.DUMMYFUNCTION("""COMPUTED_VALUE"""),"SAN VICENTE DE CAÑETE")</f>
        <v>SAN VICENTE DE CAÑETE</v>
      </c>
      <c r="H1338" s="25" t="str">
        <f ca="1">IFERROR(__xludf.DUMMYFUNCTION("""COMPUTED_VALUE"""),"URBANO")</f>
        <v>URBANO</v>
      </c>
      <c r="I1338" s="25" t="str">
        <f ca="1">IFERROR(__xludf.DUMMYFUNCTION("""COMPUTED_VALUE"""),"Prioridad 1")</f>
        <v>Prioridad 1</v>
      </c>
      <c r="J1338" s="45"/>
    </row>
    <row r="1339" spans="2:10" ht="15.75" customHeight="1">
      <c r="B1339" s="25" t="str">
        <f ca="1">IFERROR(__xludf.DUMMYFUNCTION("""COMPUTED_VALUE"""),"MUNICIPALIDAD DISTRITAL")</f>
        <v>MUNICIPALIDAD DISTRITAL</v>
      </c>
      <c r="C1339" s="25" t="str">
        <f ca="1">IFERROR(__xludf.DUMMYFUNCTION("""COMPUTED_VALUE"""),"MUNICIPALIDAD DISTRITAL DE ASIA")</f>
        <v>MUNICIPALIDAD DISTRITAL DE ASIA</v>
      </c>
      <c r="D1339" s="25" t="str">
        <f ca="1">IFERROR(__xludf.DUMMYFUNCTION("""COMPUTED_VALUE"""),"SEDE CENTRAL")</f>
        <v>SEDE CENTRAL</v>
      </c>
      <c r="E1339" s="25" t="str">
        <f ca="1">IFERROR(__xludf.DUMMYFUNCTION("""COMPUTED_VALUE"""),"LIMA")</f>
        <v>LIMA</v>
      </c>
      <c r="F1339" s="25" t="str">
        <f ca="1">IFERROR(__xludf.DUMMYFUNCTION("""COMPUTED_VALUE"""),"CAÑETE")</f>
        <v>CAÑETE</v>
      </c>
      <c r="G1339" s="25" t="str">
        <f ca="1">IFERROR(__xludf.DUMMYFUNCTION("""COMPUTED_VALUE"""),"ASIA")</f>
        <v>ASIA</v>
      </c>
      <c r="H1339" s="25" t="str">
        <f ca="1">IFERROR(__xludf.DUMMYFUNCTION("""COMPUTED_VALUE"""),"URBANO")</f>
        <v>URBANO</v>
      </c>
      <c r="I1339" s="25" t="str">
        <f ca="1">IFERROR(__xludf.DUMMYFUNCTION("""COMPUTED_VALUE"""),"Prioridad 1")</f>
        <v>Prioridad 1</v>
      </c>
      <c r="J1339" s="45"/>
    </row>
    <row r="1340" spans="2:10" ht="15.75" customHeight="1">
      <c r="B1340" s="25" t="str">
        <f ca="1">IFERROR(__xludf.DUMMYFUNCTION("""COMPUTED_VALUE"""),"MUNICIPALIDAD DISTRITAL")</f>
        <v>MUNICIPALIDAD DISTRITAL</v>
      </c>
      <c r="C1340" s="25" t="str">
        <f ca="1">IFERROR(__xludf.DUMMYFUNCTION("""COMPUTED_VALUE"""),"MUNICIPALIDAD DISTRITAL DE CALANGO")</f>
        <v>MUNICIPALIDAD DISTRITAL DE CALANGO</v>
      </c>
      <c r="D1340" s="25" t="str">
        <f ca="1">IFERROR(__xludf.DUMMYFUNCTION("""COMPUTED_VALUE"""),"SEDE CENTRAL")</f>
        <v>SEDE CENTRAL</v>
      </c>
      <c r="E1340" s="25" t="str">
        <f ca="1">IFERROR(__xludf.DUMMYFUNCTION("""COMPUTED_VALUE"""),"LIMA")</f>
        <v>LIMA</v>
      </c>
      <c r="F1340" s="25" t="str">
        <f ca="1">IFERROR(__xludf.DUMMYFUNCTION("""COMPUTED_VALUE"""),"CAÑETE")</f>
        <v>CAÑETE</v>
      </c>
      <c r="G1340" s="25" t="str">
        <f ca="1">IFERROR(__xludf.DUMMYFUNCTION("""COMPUTED_VALUE"""),"CALANGO")</f>
        <v>CALANGO</v>
      </c>
      <c r="H1340" s="25" t="str">
        <f ca="1">IFERROR(__xludf.DUMMYFUNCTION("""COMPUTED_VALUE"""),"RURAL")</f>
        <v>RURAL</v>
      </c>
      <c r="I1340" s="25" t="str">
        <f ca="1">IFERROR(__xludf.DUMMYFUNCTION("""COMPUTED_VALUE"""),"Prioridad 3")</f>
        <v>Prioridad 3</v>
      </c>
      <c r="J1340" s="45"/>
    </row>
    <row r="1341" spans="2:10" ht="15.75" customHeight="1">
      <c r="B1341" s="25" t="str">
        <f ca="1">IFERROR(__xludf.DUMMYFUNCTION("""COMPUTED_VALUE"""),"MUNICIPALIDAD DISTRITAL")</f>
        <v>MUNICIPALIDAD DISTRITAL</v>
      </c>
      <c r="C1341" s="25" t="str">
        <f ca="1">IFERROR(__xludf.DUMMYFUNCTION("""COMPUTED_VALUE"""),"MUNICIPALIDAD DISTRITAL DE CERRO AZUL")</f>
        <v>MUNICIPALIDAD DISTRITAL DE CERRO AZUL</v>
      </c>
      <c r="D1341" s="25" t="str">
        <f ca="1">IFERROR(__xludf.DUMMYFUNCTION("""COMPUTED_VALUE"""),"SEDE CENTRAL")</f>
        <v>SEDE CENTRAL</v>
      </c>
      <c r="E1341" s="25" t="str">
        <f ca="1">IFERROR(__xludf.DUMMYFUNCTION("""COMPUTED_VALUE"""),"LIMA")</f>
        <v>LIMA</v>
      </c>
      <c r="F1341" s="25" t="str">
        <f ca="1">IFERROR(__xludf.DUMMYFUNCTION("""COMPUTED_VALUE"""),"CAÑETE")</f>
        <v>CAÑETE</v>
      </c>
      <c r="G1341" s="25" t="str">
        <f ca="1">IFERROR(__xludf.DUMMYFUNCTION("""COMPUTED_VALUE"""),"CERRO AZUL")</f>
        <v>CERRO AZUL</v>
      </c>
      <c r="H1341" s="25" t="str">
        <f ca="1">IFERROR(__xludf.DUMMYFUNCTION("""COMPUTED_VALUE"""),"URBANO")</f>
        <v>URBANO</v>
      </c>
      <c r="I1341" s="25" t="str">
        <f ca="1">IFERROR(__xludf.DUMMYFUNCTION("""COMPUTED_VALUE"""),"Prioridad 1")</f>
        <v>Prioridad 1</v>
      </c>
      <c r="J1341" s="45"/>
    </row>
    <row r="1342" spans="2:10" ht="15.75" customHeight="1">
      <c r="B1342" s="25" t="str">
        <f ca="1">IFERROR(__xludf.DUMMYFUNCTION("""COMPUTED_VALUE"""),"MUNICIPALIDAD DISTRITAL")</f>
        <v>MUNICIPALIDAD DISTRITAL</v>
      </c>
      <c r="C1342" s="25" t="str">
        <f ca="1">IFERROR(__xludf.DUMMYFUNCTION("""COMPUTED_VALUE"""),"MUNICIPALIDAD DISTRITAL DE CHILCA EN CAÑETE")</f>
        <v>MUNICIPALIDAD DISTRITAL DE CHILCA EN CAÑETE</v>
      </c>
      <c r="D1342" s="25" t="str">
        <f ca="1">IFERROR(__xludf.DUMMYFUNCTION("""COMPUTED_VALUE"""),"SEDE CENTRAL")</f>
        <v>SEDE CENTRAL</v>
      </c>
      <c r="E1342" s="25" t="str">
        <f ca="1">IFERROR(__xludf.DUMMYFUNCTION("""COMPUTED_VALUE"""),"LIMA")</f>
        <v>LIMA</v>
      </c>
      <c r="F1342" s="25" t="str">
        <f ca="1">IFERROR(__xludf.DUMMYFUNCTION("""COMPUTED_VALUE"""),"CAÑETE")</f>
        <v>CAÑETE</v>
      </c>
      <c r="G1342" s="25" t="str">
        <f ca="1">IFERROR(__xludf.DUMMYFUNCTION("""COMPUTED_VALUE"""),"CHILCA")</f>
        <v>CHILCA</v>
      </c>
      <c r="H1342" s="25" t="str">
        <f ca="1">IFERROR(__xludf.DUMMYFUNCTION("""COMPUTED_VALUE"""),"URBANO")</f>
        <v>URBANO</v>
      </c>
      <c r="I1342" s="25" t="str">
        <f ca="1">IFERROR(__xludf.DUMMYFUNCTION("""COMPUTED_VALUE"""),"Prioridad 1")</f>
        <v>Prioridad 1</v>
      </c>
      <c r="J1342" s="45"/>
    </row>
    <row r="1343" spans="2:10" ht="15.75" customHeight="1">
      <c r="B1343" s="25" t="str">
        <f ca="1">IFERROR(__xludf.DUMMYFUNCTION("""COMPUTED_VALUE"""),"MUNICIPALIDAD DISTRITAL")</f>
        <v>MUNICIPALIDAD DISTRITAL</v>
      </c>
      <c r="C1343" s="25" t="str">
        <f ca="1">IFERROR(__xludf.DUMMYFUNCTION("""COMPUTED_VALUE"""),"MUNICIPALIDAD DISTRITAL DE COAYLLO")</f>
        <v>MUNICIPALIDAD DISTRITAL DE COAYLLO</v>
      </c>
      <c r="D1343" s="25" t="str">
        <f ca="1">IFERROR(__xludf.DUMMYFUNCTION("""COMPUTED_VALUE"""),"SEDE CENTRAL")</f>
        <v>SEDE CENTRAL</v>
      </c>
      <c r="E1343" s="25" t="str">
        <f ca="1">IFERROR(__xludf.DUMMYFUNCTION("""COMPUTED_VALUE"""),"LIMA")</f>
        <v>LIMA</v>
      </c>
      <c r="F1343" s="25" t="str">
        <f ca="1">IFERROR(__xludf.DUMMYFUNCTION("""COMPUTED_VALUE"""),"CAÑETE")</f>
        <v>CAÑETE</v>
      </c>
      <c r="G1343" s="25" t="str">
        <f ca="1">IFERROR(__xludf.DUMMYFUNCTION("""COMPUTED_VALUE"""),"COAYLLO")</f>
        <v>COAYLLO</v>
      </c>
      <c r="H1343" s="25" t="str">
        <f ca="1">IFERROR(__xludf.DUMMYFUNCTION("""COMPUTED_VALUE"""),"RURAL")</f>
        <v>RURAL</v>
      </c>
      <c r="I1343" s="25" t="str">
        <f ca="1">IFERROR(__xludf.DUMMYFUNCTION("""COMPUTED_VALUE"""),"Prioridad 2")</f>
        <v>Prioridad 2</v>
      </c>
      <c r="J1343" s="45"/>
    </row>
    <row r="1344" spans="2:10" ht="15.75" customHeight="1">
      <c r="B1344" s="25" t="str">
        <f ca="1">IFERROR(__xludf.DUMMYFUNCTION("""COMPUTED_VALUE"""),"MUNICIPALIDAD DISTRITAL")</f>
        <v>MUNICIPALIDAD DISTRITAL</v>
      </c>
      <c r="C1344" s="25" t="str">
        <f ca="1">IFERROR(__xludf.DUMMYFUNCTION("""COMPUTED_VALUE"""),"MUNICIPALIDAD DISTRITAL DE IMPERIAL")</f>
        <v>MUNICIPALIDAD DISTRITAL DE IMPERIAL</v>
      </c>
      <c r="D1344" s="25" t="str">
        <f ca="1">IFERROR(__xludf.DUMMYFUNCTION("""COMPUTED_VALUE"""),"SEDE CENTRAL")</f>
        <v>SEDE CENTRAL</v>
      </c>
      <c r="E1344" s="25" t="str">
        <f ca="1">IFERROR(__xludf.DUMMYFUNCTION("""COMPUTED_VALUE"""),"LIMA")</f>
        <v>LIMA</v>
      </c>
      <c r="F1344" s="25" t="str">
        <f ca="1">IFERROR(__xludf.DUMMYFUNCTION("""COMPUTED_VALUE"""),"CAÑETE")</f>
        <v>CAÑETE</v>
      </c>
      <c r="G1344" s="25" t="str">
        <f ca="1">IFERROR(__xludf.DUMMYFUNCTION("""COMPUTED_VALUE"""),"IMPERIAL")</f>
        <v>IMPERIAL</v>
      </c>
      <c r="H1344" s="25" t="str">
        <f ca="1">IFERROR(__xludf.DUMMYFUNCTION("""COMPUTED_VALUE"""),"URBANO")</f>
        <v>URBANO</v>
      </c>
      <c r="I1344" s="25" t="str">
        <f ca="1">IFERROR(__xludf.DUMMYFUNCTION("""COMPUTED_VALUE"""),"Prioridad 1")</f>
        <v>Prioridad 1</v>
      </c>
      <c r="J1344" s="45"/>
    </row>
    <row r="1345" spans="2:10" ht="15.75" customHeight="1">
      <c r="B1345" s="25" t="str">
        <f ca="1">IFERROR(__xludf.DUMMYFUNCTION("""COMPUTED_VALUE"""),"MUNICIPALIDAD DISTRITAL")</f>
        <v>MUNICIPALIDAD DISTRITAL</v>
      </c>
      <c r="C1345" s="25" t="str">
        <f ca="1">IFERROR(__xludf.DUMMYFUNCTION("""COMPUTED_VALUE"""),"MUNICIPALIDAD DISTRITAL DE LUNAHUANA")</f>
        <v>MUNICIPALIDAD DISTRITAL DE LUNAHUANA</v>
      </c>
      <c r="D1345" s="25" t="str">
        <f ca="1">IFERROR(__xludf.DUMMYFUNCTION("""COMPUTED_VALUE"""),"SEDE CENTRAL")</f>
        <v>SEDE CENTRAL</v>
      </c>
      <c r="E1345" s="25" t="str">
        <f ca="1">IFERROR(__xludf.DUMMYFUNCTION("""COMPUTED_VALUE"""),"LIMA")</f>
        <v>LIMA</v>
      </c>
      <c r="F1345" s="25" t="str">
        <f ca="1">IFERROR(__xludf.DUMMYFUNCTION("""COMPUTED_VALUE"""),"CAÑETE")</f>
        <v>CAÑETE</v>
      </c>
      <c r="G1345" s="25" t="str">
        <f ca="1">IFERROR(__xludf.DUMMYFUNCTION("""COMPUTED_VALUE"""),"LUNAHUANA")</f>
        <v>LUNAHUANA</v>
      </c>
      <c r="H1345" s="25" t="str">
        <f ca="1">IFERROR(__xludf.DUMMYFUNCTION("""COMPUTED_VALUE"""),"URBANO")</f>
        <v>URBANO</v>
      </c>
      <c r="I1345" s="25" t="str">
        <f ca="1">IFERROR(__xludf.DUMMYFUNCTION("""COMPUTED_VALUE"""),"Prioridad 1")</f>
        <v>Prioridad 1</v>
      </c>
      <c r="J1345" s="45"/>
    </row>
    <row r="1346" spans="2:10" ht="15.75" customHeight="1">
      <c r="B1346" s="25" t="str">
        <f ca="1">IFERROR(__xludf.DUMMYFUNCTION("""COMPUTED_VALUE"""),"MUNICIPALIDAD DISTRITAL")</f>
        <v>MUNICIPALIDAD DISTRITAL</v>
      </c>
      <c r="C1346" s="25" t="str">
        <f ca="1">IFERROR(__xludf.DUMMYFUNCTION("""COMPUTED_VALUE"""),"MUNICIPALIDAD DISTRITAL DE MALA")</f>
        <v>MUNICIPALIDAD DISTRITAL DE MALA</v>
      </c>
      <c r="D1346" s="25" t="str">
        <f ca="1">IFERROR(__xludf.DUMMYFUNCTION("""COMPUTED_VALUE"""),"SEDE CENTRAL")</f>
        <v>SEDE CENTRAL</v>
      </c>
      <c r="E1346" s="25" t="str">
        <f ca="1">IFERROR(__xludf.DUMMYFUNCTION("""COMPUTED_VALUE"""),"LIMA")</f>
        <v>LIMA</v>
      </c>
      <c r="F1346" s="25" t="str">
        <f ca="1">IFERROR(__xludf.DUMMYFUNCTION("""COMPUTED_VALUE"""),"CAÑETE")</f>
        <v>CAÑETE</v>
      </c>
      <c r="G1346" s="25" t="str">
        <f ca="1">IFERROR(__xludf.DUMMYFUNCTION("""COMPUTED_VALUE"""),"MALA")</f>
        <v>MALA</v>
      </c>
      <c r="H1346" s="25" t="str">
        <f ca="1">IFERROR(__xludf.DUMMYFUNCTION("""COMPUTED_VALUE"""),"URBANO")</f>
        <v>URBANO</v>
      </c>
      <c r="I1346" s="25" t="str">
        <f ca="1">IFERROR(__xludf.DUMMYFUNCTION("""COMPUTED_VALUE"""),"Prioridad 1")</f>
        <v>Prioridad 1</v>
      </c>
      <c r="J1346" s="45"/>
    </row>
    <row r="1347" spans="2:10" ht="15.75" customHeight="1">
      <c r="B1347" s="25" t="str">
        <f ca="1">IFERROR(__xludf.DUMMYFUNCTION("""COMPUTED_VALUE"""),"MUNICIPALIDAD DISTRITAL")</f>
        <v>MUNICIPALIDAD DISTRITAL</v>
      </c>
      <c r="C1347" s="25" t="str">
        <f ca="1">IFERROR(__xludf.DUMMYFUNCTION("""COMPUTED_VALUE"""),"MUNICIPALIDAD DISTRITAL DE NUEVO IMPERIAL")</f>
        <v>MUNICIPALIDAD DISTRITAL DE NUEVO IMPERIAL</v>
      </c>
      <c r="D1347" s="25" t="str">
        <f ca="1">IFERROR(__xludf.DUMMYFUNCTION("""COMPUTED_VALUE"""),"SEDE CENTRAL")</f>
        <v>SEDE CENTRAL</v>
      </c>
      <c r="E1347" s="25" t="str">
        <f ca="1">IFERROR(__xludf.DUMMYFUNCTION("""COMPUTED_VALUE"""),"LIMA")</f>
        <v>LIMA</v>
      </c>
      <c r="F1347" s="25" t="str">
        <f ca="1">IFERROR(__xludf.DUMMYFUNCTION("""COMPUTED_VALUE"""),"CAÑETE")</f>
        <v>CAÑETE</v>
      </c>
      <c r="G1347" s="25" t="str">
        <f ca="1">IFERROR(__xludf.DUMMYFUNCTION("""COMPUTED_VALUE"""),"NUEVO IMPERIAL")</f>
        <v>NUEVO IMPERIAL</v>
      </c>
      <c r="H1347" s="25" t="str">
        <f ca="1">IFERROR(__xludf.DUMMYFUNCTION("""COMPUTED_VALUE"""),"URBANO")</f>
        <v>URBANO</v>
      </c>
      <c r="I1347" s="25" t="str">
        <f ca="1">IFERROR(__xludf.DUMMYFUNCTION("""COMPUTED_VALUE"""),"Prioridad 2")</f>
        <v>Prioridad 2</v>
      </c>
      <c r="J1347" s="45"/>
    </row>
    <row r="1348" spans="2:10" ht="15.75" customHeight="1">
      <c r="B1348" s="25" t="str">
        <f ca="1">IFERROR(__xludf.DUMMYFUNCTION("""COMPUTED_VALUE"""),"MUNICIPALIDAD DISTRITAL")</f>
        <v>MUNICIPALIDAD DISTRITAL</v>
      </c>
      <c r="C1348" s="25" t="str">
        <f ca="1">IFERROR(__xludf.DUMMYFUNCTION("""COMPUTED_VALUE"""),"MUNICIPALIDAD DISTRITAL DE PACARAN")</f>
        <v>MUNICIPALIDAD DISTRITAL DE PACARAN</v>
      </c>
      <c r="D1348" s="25" t="str">
        <f ca="1">IFERROR(__xludf.DUMMYFUNCTION("""COMPUTED_VALUE"""),"SEDE CENTRAL")</f>
        <v>SEDE CENTRAL</v>
      </c>
      <c r="E1348" s="25" t="str">
        <f ca="1">IFERROR(__xludf.DUMMYFUNCTION("""COMPUTED_VALUE"""),"LIMA")</f>
        <v>LIMA</v>
      </c>
      <c r="F1348" s="25" t="str">
        <f ca="1">IFERROR(__xludf.DUMMYFUNCTION("""COMPUTED_VALUE"""),"CAÑETE")</f>
        <v>CAÑETE</v>
      </c>
      <c r="G1348" s="25" t="str">
        <f ca="1">IFERROR(__xludf.DUMMYFUNCTION("""COMPUTED_VALUE"""),"PACARAN")</f>
        <v>PACARAN</v>
      </c>
      <c r="H1348" s="25" t="str">
        <f ca="1">IFERROR(__xludf.DUMMYFUNCTION("""COMPUTED_VALUE"""),"RURAL")</f>
        <v>RURAL</v>
      </c>
      <c r="I1348" s="25" t="str">
        <f ca="1">IFERROR(__xludf.DUMMYFUNCTION("""COMPUTED_VALUE"""),"Prioridad 2")</f>
        <v>Prioridad 2</v>
      </c>
      <c r="J1348" s="45"/>
    </row>
    <row r="1349" spans="2:10" ht="15.75" customHeight="1">
      <c r="B1349" s="25" t="str">
        <f ca="1">IFERROR(__xludf.DUMMYFUNCTION("""COMPUTED_VALUE"""),"MUNICIPALIDAD DISTRITAL")</f>
        <v>MUNICIPALIDAD DISTRITAL</v>
      </c>
      <c r="C1349" s="25" t="str">
        <f ca="1">IFERROR(__xludf.DUMMYFUNCTION("""COMPUTED_VALUE"""),"MUNICIPALIDAD DISTRITAL DE QUILMANA")</f>
        <v>MUNICIPALIDAD DISTRITAL DE QUILMANA</v>
      </c>
      <c r="D1349" s="25" t="str">
        <f ca="1">IFERROR(__xludf.DUMMYFUNCTION("""COMPUTED_VALUE"""),"SEDE CENTRAL")</f>
        <v>SEDE CENTRAL</v>
      </c>
      <c r="E1349" s="25" t="str">
        <f ca="1">IFERROR(__xludf.DUMMYFUNCTION("""COMPUTED_VALUE"""),"LIMA")</f>
        <v>LIMA</v>
      </c>
      <c r="F1349" s="25" t="str">
        <f ca="1">IFERROR(__xludf.DUMMYFUNCTION("""COMPUTED_VALUE"""),"CAÑETE")</f>
        <v>CAÑETE</v>
      </c>
      <c r="G1349" s="25" t="str">
        <f ca="1">IFERROR(__xludf.DUMMYFUNCTION("""COMPUTED_VALUE"""),"QUILMANA")</f>
        <v>QUILMANA</v>
      </c>
      <c r="H1349" s="25" t="str">
        <f ca="1">IFERROR(__xludf.DUMMYFUNCTION("""COMPUTED_VALUE"""),"URBANO")</f>
        <v>URBANO</v>
      </c>
      <c r="I1349" s="25" t="str">
        <f ca="1">IFERROR(__xludf.DUMMYFUNCTION("""COMPUTED_VALUE"""),"Prioridad 2")</f>
        <v>Prioridad 2</v>
      </c>
      <c r="J1349" s="45"/>
    </row>
    <row r="1350" spans="2:10" ht="15.75" customHeight="1">
      <c r="B1350" s="25" t="str">
        <f ca="1">IFERROR(__xludf.DUMMYFUNCTION("""COMPUTED_VALUE"""),"MUNICIPALIDAD DISTRITAL")</f>
        <v>MUNICIPALIDAD DISTRITAL</v>
      </c>
      <c r="C1350" s="25" t="str">
        <f ca="1">IFERROR(__xludf.DUMMYFUNCTION("""COMPUTED_VALUE"""),"MUNICIPALIDAD DISTRITAL DE SAN ANTONIO EN CAÑETE")</f>
        <v>MUNICIPALIDAD DISTRITAL DE SAN ANTONIO EN CAÑETE</v>
      </c>
      <c r="D1350" s="25" t="str">
        <f ca="1">IFERROR(__xludf.DUMMYFUNCTION("""COMPUTED_VALUE"""),"SEDE CENTRAL")</f>
        <v>SEDE CENTRAL</v>
      </c>
      <c r="E1350" s="25" t="str">
        <f ca="1">IFERROR(__xludf.DUMMYFUNCTION("""COMPUTED_VALUE"""),"LIMA")</f>
        <v>LIMA</v>
      </c>
      <c r="F1350" s="25" t="str">
        <f ca="1">IFERROR(__xludf.DUMMYFUNCTION("""COMPUTED_VALUE"""),"CAÑETE")</f>
        <v>CAÑETE</v>
      </c>
      <c r="G1350" s="25" t="str">
        <f ca="1">IFERROR(__xludf.DUMMYFUNCTION("""COMPUTED_VALUE"""),"SAN ANTONIO")</f>
        <v>SAN ANTONIO</v>
      </c>
      <c r="H1350" s="25" t="str">
        <f ca="1">IFERROR(__xludf.DUMMYFUNCTION("""COMPUTED_VALUE"""),"URBANO")</f>
        <v>URBANO</v>
      </c>
      <c r="I1350" s="25" t="str">
        <f ca="1">IFERROR(__xludf.DUMMYFUNCTION("""COMPUTED_VALUE"""),"Prioridad 1")</f>
        <v>Prioridad 1</v>
      </c>
      <c r="J1350" s="45"/>
    </row>
    <row r="1351" spans="2:10" ht="15.75" customHeight="1">
      <c r="B1351" s="25" t="str">
        <f ca="1">IFERROR(__xludf.DUMMYFUNCTION("""COMPUTED_VALUE"""),"MUNICIPALIDAD DISTRITAL")</f>
        <v>MUNICIPALIDAD DISTRITAL</v>
      </c>
      <c r="C1351" s="25" t="str">
        <f ca="1">IFERROR(__xludf.DUMMYFUNCTION("""COMPUTED_VALUE"""),"MUNICIPALIDAD DISTRITAL DE SAN LUIS EN CAÑETE")</f>
        <v>MUNICIPALIDAD DISTRITAL DE SAN LUIS EN CAÑETE</v>
      </c>
      <c r="D1351" s="25" t="str">
        <f ca="1">IFERROR(__xludf.DUMMYFUNCTION("""COMPUTED_VALUE"""),"SEDE CENTRAL")</f>
        <v>SEDE CENTRAL</v>
      </c>
      <c r="E1351" s="25" t="str">
        <f ca="1">IFERROR(__xludf.DUMMYFUNCTION("""COMPUTED_VALUE"""),"LIMA")</f>
        <v>LIMA</v>
      </c>
      <c r="F1351" s="25" t="str">
        <f ca="1">IFERROR(__xludf.DUMMYFUNCTION("""COMPUTED_VALUE"""),"CAÑETE")</f>
        <v>CAÑETE</v>
      </c>
      <c r="G1351" s="25" t="str">
        <f ca="1">IFERROR(__xludf.DUMMYFUNCTION("""COMPUTED_VALUE"""),"SAN LUIS")</f>
        <v>SAN LUIS</v>
      </c>
      <c r="H1351" s="25" t="str">
        <f ca="1">IFERROR(__xludf.DUMMYFUNCTION("""COMPUTED_VALUE"""),"URBANO")</f>
        <v>URBANO</v>
      </c>
      <c r="I1351" s="25" t="str">
        <f ca="1">IFERROR(__xludf.DUMMYFUNCTION("""COMPUTED_VALUE"""),"Prioridad 2")</f>
        <v>Prioridad 2</v>
      </c>
      <c r="J1351" s="45"/>
    </row>
    <row r="1352" spans="2:10" ht="15.75" customHeight="1">
      <c r="B1352" s="25" t="str">
        <f ca="1">IFERROR(__xludf.DUMMYFUNCTION("""COMPUTED_VALUE"""),"MUNICIPALIDAD DISTRITAL")</f>
        <v>MUNICIPALIDAD DISTRITAL</v>
      </c>
      <c r="C1352" s="25" t="str">
        <f ca="1">IFERROR(__xludf.DUMMYFUNCTION("""COMPUTED_VALUE"""),"MUNICIPALIDAD DISTRITAL DE SANTA CRUZ DE FLORES")</f>
        <v>MUNICIPALIDAD DISTRITAL DE SANTA CRUZ DE FLORES</v>
      </c>
      <c r="D1352" s="25" t="str">
        <f ca="1">IFERROR(__xludf.DUMMYFUNCTION("""COMPUTED_VALUE"""),"SEDE CENTRAL")</f>
        <v>SEDE CENTRAL</v>
      </c>
      <c r="E1352" s="25" t="str">
        <f ca="1">IFERROR(__xludf.DUMMYFUNCTION("""COMPUTED_VALUE"""),"LIMA")</f>
        <v>LIMA</v>
      </c>
      <c r="F1352" s="25" t="str">
        <f ca="1">IFERROR(__xludf.DUMMYFUNCTION("""COMPUTED_VALUE"""),"CAÑETE")</f>
        <v>CAÑETE</v>
      </c>
      <c r="G1352" s="25" t="str">
        <f ca="1">IFERROR(__xludf.DUMMYFUNCTION("""COMPUTED_VALUE"""),"SANTA CRUZ DE FLORES")</f>
        <v>SANTA CRUZ DE FLORES</v>
      </c>
      <c r="H1352" s="25" t="str">
        <f ca="1">IFERROR(__xludf.DUMMYFUNCTION("""COMPUTED_VALUE"""),"URBANO")</f>
        <v>URBANO</v>
      </c>
      <c r="I1352" s="25" t="str">
        <f ca="1">IFERROR(__xludf.DUMMYFUNCTION("""COMPUTED_VALUE"""),"Prioridad 1")</f>
        <v>Prioridad 1</v>
      </c>
      <c r="J1352" s="45"/>
    </row>
    <row r="1353" spans="2:10" ht="15.75" customHeight="1">
      <c r="B1353" s="25" t="str">
        <f ca="1">IFERROR(__xludf.DUMMYFUNCTION("""COMPUTED_VALUE"""),"MUNICIPALIDAD DISTRITAL")</f>
        <v>MUNICIPALIDAD DISTRITAL</v>
      </c>
      <c r="C1353" s="25" t="str">
        <f ca="1">IFERROR(__xludf.DUMMYFUNCTION("""COMPUTED_VALUE"""),"MUNICIPALIDAD DISTRITAL DE ZUÑIGA")</f>
        <v>MUNICIPALIDAD DISTRITAL DE ZUÑIGA</v>
      </c>
      <c r="D1353" s="25" t="str">
        <f ca="1">IFERROR(__xludf.DUMMYFUNCTION("""COMPUTED_VALUE"""),"SEDE CENTRAL")</f>
        <v>SEDE CENTRAL</v>
      </c>
      <c r="E1353" s="25" t="str">
        <f ca="1">IFERROR(__xludf.DUMMYFUNCTION("""COMPUTED_VALUE"""),"LIMA")</f>
        <v>LIMA</v>
      </c>
      <c r="F1353" s="25" t="str">
        <f ca="1">IFERROR(__xludf.DUMMYFUNCTION("""COMPUTED_VALUE"""),"CAÑETE")</f>
        <v>CAÑETE</v>
      </c>
      <c r="G1353" s="25" t="str">
        <f ca="1">IFERROR(__xludf.DUMMYFUNCTION("""COMPUTED_VALUE"""),"ZUÑIGA")</f>
        <v>ZUÑIGA</v>
      </c>
      <c r="H1353" s="25" t="str">
        <f ca="1">IFERROR(__xludf.DUMMYFUNCTION("""COMPUTED_VALUE"""),"RURAL")</f>
        <v>RURAL</v>
      </c>
      <c r="I1353" s="25" t="str">
        <f ca="1">IFERROR(__xludf.DUMMYFUNCTION("""COMPUTED_VALUE"""),"Prioridad 3")</f>
        <v>Prioridad 3</v>
      </c>
      <c r="J1353" s="45"/>
    </row>
    <row r="1354" spans="2:10" ht="15.75" customHeight="1">
      <c r="B1354" s="25" t="str">
        <f ca="1">IFERROR(__xludf.DUMMYFUNCTION("""COMPUTED_VALUE"""),"MUNICIPALIDAD PROVINCIAL")</f>
        <v>MUNICIPALIDAD PROVINCIAL</v>
      </c>
      <c r="C1354" s="25" t="str">
        <f ca="1">IFERROR(__xludf.DUMMYFUNCTION("""COMPUTED_VALUE"""),"MUNICIPALIDAD PROVINCIAL DE HUARAL")</f>
        <v>MUNICIPALIDAD PROVINCIAL DE HUARAL</v>
      </c>
      <c r="D1354" s="25" t="str">
        <f ca="1">IFERROR(__xludf.DUMMYFUNCTION("""COMPUTED_VALUE"""),"SEDE CENTRAL")</f>
        <v>SEDE CENTRAL</v>
      </c>
      <c r="E1354" s="25" t="str">
        <f ca="1">IFERROR(__xludf.DUMMYFUNCTION("""COMPUTED_VALUE"""),"LIMA")</f>
        <v>LIMA</v>
      </c>
      <c r="F1354" s="25" t="str">
        <f ca="1">IFERROR(__xludf.DUMMYFUNCTION("""COMPUTED_VALUE"""),"HUARAL")</f>
        <v>HUARAL</v>
      </c>
      <c r="G1354" s="25" t="str">
        <f ca="1">IFERROR(__xludf.DUMMYFUNCTION("""COMPUTED_VALUE"""),"HUARAL")</f>
        <v>HUARAL</v>
      </c>
      <c r="H1354" s="25" t="str">
        <f ca="1">IFERROR(__xludf.DUMMYFUNCTION("""COMPUTED_VALUE"""),"URBANO")</f>
        <v>URBANO</v>
      </c>
      <c r="I1354" s="25" t="str">
        <f ca="1">IFERROR(__xludf.DUMMYFUNCTION("""COMPUTED_VALUE"""),"Prioridad 1")</f>
        <v>Prioridad 1</v>
      </c>
      <c r="J1354" s="45"/>
    </row>
    <row r="1355" spans="2:10" ht="15.75" customHeight="1">
      <c r="B1355" s="25" t="str">
        <f ca="1">IFERROR(__xludf.DUMMYFUNCTION("""COMPUTED_VALUE"""),"MUNICIPALIDAD DISTRITAL")</f>
        <v>MUNICIPALIDAD DISTRITAL</v>
      </c>
      <c r="C1355" s="25" t="str">
        <f ca="1">IFERROR(__xludf.DUMMYFUNCTION("""COMPUTED_VALUE"""),"MUNICIPALIDAD DISTRITAL DE ATAVILLOS ALTO")</f>
        <v>MUNICIPALIDAD DISTRITAL DE ATAVILLOS ALTO</v>
      </c>
      <c r="D1355" s="25" t="str">
        <f ca="1">IFERROR(__xludf.DUMMYFUNCTION("""COMPUTED_VALUE"""),"SEDE CENTRAL")</f>
        <v>SEDE CENTRAL</v>
      </c>
      <c r="E1355" s="25" t="str">
        <f ca="1">IFERROR(__xludf.DUMMYFUNCTION("""COMPUTED_VALUE"""),"LIMA")</f>
        <v>LIMA</v>
      </c>
      <c r="F1355" s="25" t="str">
        <f ca="1">IFERROR(__xludf.DUMMYFUNCTION("""COMPUTED_VALUE"""),"HUARAL")</f>
        <v>HUARAL</v>
      </c>
      <c r="G1355" s="25" t="str">
        <f ca="1">IFERROR(__xludf.DUMMYFUNCTION("""COMPUTED_VALUE"""),"ATAVILLOS ALTO")</f>
        <v>ATAVILLOS ALTO</v>
      </c>
      <c r="H1355" s="25" t="str">
        <f ca="1">IFERROR(__xludf.DUMMYFUNCTION("""COMPUTED_VALUE"""),"RURAL")</f>
        <v>RURAL</v>
      </c>
      <c r="I1355" s="25" t="str">
        <f ca="1">IFERROR(__xludf.DUMMYFUNCTION("""COMPUTED_VALUE"""),"Prioridad 2")</f>
        <v>Prioridad 2</v>
      </c>
      <c r="J1355" s="45"/>
    </row>
    <row r="1356" spans="2:10" ht="15.75" customHeight="1">
      <c r="B1356" s="25" t="str">
        <f ca="1">IFERROR(__xludf.DUMMYFUNCTION("""COMPUTED_VALUE"""),"MUNICIPALIDAD DISTRITAL")</f>
        <v>MUNICIPALIDAD DISTRITAL</v>
      </c>
      <c r="C1356" s="25" t="str">
        <f ca="1">IFERROR(__xludf.DUMMYFUNCTION("""COMPUTED_VALUE"""),"MUNICIPALIDAD DISTRITAL DE ATAVILLOS BAJO")</f>
        <v>MUNICIPALIDAD DISTRITAL DE ATAVILLOS BAJO</v>
      </c>
      <c r="D1356" s="25" t="str">
        <f ca="1">IFERROR(__xludf.DUMMYFUNCTION("""COMPUTED_VALUE"""),"SEDE CENTRAL")</f>
        <v>SEDE CENTRAL</v>
      </c>
      <c r="E1356" s="25" t="str">
        <f ca="1">IFERROR(__xludf.DUMMYFUNCTION("""COMPUTED_VALUE"""),"LIMA")</f>
        <v>LIMA</v>
      </c>
      <c r="F1356" s="25" t="str">
        <f ca="1">IFERROR(__xludf.DUMMYFUNCTION("""COMPUTED_VALUE"""),"HUARAL")</f>
        <v>HUARAL</v>
      </c>
      <c r="G1356" s="25" t="str">
        <f ca="1">IFERROR(__xludf.DUMMYFUNCTION("""COMPUTED_VALUE"""),"ATAVILLOS BAJO")</f>
        <v>ATAVILLOS BAJO</v>
      </c>
      <c r="H1356" s="25" t="str">
        <f ca="1">IFERROR(__xludf.DUMMYFUNCTION("""COMPUTED_VALUE"""),"RURAL")</f>
        <v>RURAL</v>
      </c>
      <c r="I1356" s="25" t="str">
        <f ca="1">IFERROR(__xludf.DUMMYFUNCTION("""COMPUTED_VALUE"""),"Prioridad 4")</f>
        <v>Prioridad 4</v>
      </c>
      <c r="J1356" s="45"/>
    </row>
    <row r="1357" spans="2:10" ht="15.75" customHeight="1">
      <c r="B1357" s="25" t="str">
        <f ca="1">IFERROR(__xludf.DUMMYFUNCTION("""COMPUTED_VALUE"""),"MUNICIPALIDAD DISTRITAL")</f>
        <v>MUNICIPALIDAD DISTRITAL</v>
      </c>
      <c r="C1357" s="25" t="str">
        <f ca="1">IFERROR(__xludf.DUMMYFUNCTION("""COMPUTED_VALUE"""),"MUNICIPALIDAD DISTRITAL DE AUCALLAMA")</f>
        <v>MUNICIPALIDAD DISTRITAL DE AUCALLAMA</v>
      </c>
      <c r="D1357" s="25" t="str">
        <f ca="1">IFERROR(__xludf.DUMMYFUNCTION("""COMPUTED_VALUE"""),"SEDE CENTRAL")</f>
        <v>SEDE CENTRAL</v>
      </c>
      <c r="E1357" s="25" t="str">
        <f ca="1">IFERROR(__xludf.DUMMYFUNCTION("""COMPUTED_VALUE"""),"LIMA")</f>
        <v>LIMA</v>
      </c>
      <c r="F1357" s="25" t="str">
        <f ca="1">IFERROR(__xludf.DUMMYFUNCTION("""COMPUTED_VALUE"""),"HUARAL")</f>
        <v>HUARAL</v>
      </c>
      <c r="G1357" s="25" t="str">
        <f ca="1">IFERROR(__xludf.DUMMYFUNCTION("""COMPUTED_VALUE"""),"AUCALLAMA")</f>
        <v>AUCALLAMA</v>
      </c>
      <c r="H1357" s="25" t="str">
        <f ca="1">IFERROR(__xludf.DUMMYFUNCTION("""COMPUTED_VALUE"""),"URBANO")</f>
        <v>URBANO</v>
      </c>
      <c r="I1357" s="25" t="str">
        <f ca="1">IFERROR(__xludf.DUMMYFUNCTION("""COMPUTED_VALUE"""),"Prioridad 2")</f>
        <v>Prioridad 2</v>
      </c>
      <c r="J1357" s="45"/>
    </row>
    <row r="1358" spans="2:10" ht="15.75" customHeight="1">
      <c r="B1358" s="25" t="str">
        <f ca="1">IFERROR(__xludf.DUMMYFUNCTION("""COMPUTED_VALUE"""),"MUNICIPALIDAD DISTRITAL")</f>
        <v>MUNICIPALIDAD DISTRITAL</v>
      </c>
      <c r="C1358" s="25" t="str">
        <f ca="1">IFERROR(__xludf.DUMMYFUNCTION("""COMPUTED_VALUE"""),"MUNICIPALIDAD DISTRITAL DE CHANCAY EN HUARAL")</f>
        <v>MUNICIPALIDAD DISTRITAL DE CHANCAY EN HUARAL</v>
      </c>
      <c r="D1358" s="25" t="str">
        <f ca="1">IFERROR(__xludf.DUMMYFUNCTION("""COMPUTED_VALUE"""),"SEDE CENTRAL")</f>
        <v>SEDE CENTRAL</v>
      </c>
      <c r="E1358" s="25" t="str">
        <f ca="1">IFERROR(__xludf.DUMMYFUNCTION("""COMPUTED_VALUE"""),"LIMA")</f>
        <v>LIMA</v>
      </c>
      <c r="F1358" s="25" t="str">
        <f ca="1">IFERROR(__xludf.DUMMYFUNCTION("""COMPUTED_VALUE"""),"HUARAL")</f>
        <v>HUARAL</v>
      </c>
      <c r="G1358" s="25" t="str">
        <f ca="1">IFERROR(__xludf.DUMMYFUNCTION("""COMPUTED_VALUE"""),"CHANCAY")</f>
        <v>CHANCAY</v>
      </c>
      <c r="H1358" s="25" t="str">
        <f ca="1">IFERROR(__xludf.DUMMYFUNCTION("""COMPUTED_VALUE"""),"URBANO")</f>
        <v>URBANO</v>
      </c>
      <c r="I1358" s="25" t="str">
        <f ca="1">IFERROR(__xludf.DUMMYFUNCTION("""COMPUTED_VALUE"""),"Prioridad 3")</f>
        <v>Prioridad 3</v>
      </c>
      <c r="J1358" s="45"/>
    </row>
    <row r="1359" spans="2:10" ht="15.75" customHeight="1">
      <c r="B1359" s="25" t="str">
        <f ca="1">IFERROR(__xludf.DUMMYFUNCTION("""COMPUTED_VALUE"""),"MUNICIPALIDAD DISTRITAL")</f>
        <v>MUNICIPALIDAD DISTRITAL</v>
      </c>
      <c r="C1359" s="25" t="str">
        <f ca="1">IFERROR(__xludf.DUMMYFUNCTION("""COMPUTED_VALUE"""),"MUNICIPALIDAD DISTRITAL DE IHUARI")</f>
        <v>MUNICIPALIDAD DISTRITAL DE IHUARI</v>
      </c>
      <c r="D1359" s="25" t="str">
        <f ca="1">IFERROR(__xludf.DUMMYFUNCTION("""COMPUTED_VALUE"""),"SEDE CENTRAL")</f>
        <v>SEDE CENTRAL</v>
      </c>
      <c r="E1359" s="25" t="str">
        <f ca="1">IFERROR(__xludf.DUMMYFUNCTION("""COMPUTED_VALUE"""),"LIMA")</f>
        <v>LIMA</v>
      </c>
      <c r="F1359" s="25" t="str">
        <f ca="1">IFERROR(__xludf.DUMMYFUNCTION("""COMPUTED_VALUE"""),"HUARAL")</f>
        <v>HUARAL</v>
      </c>
      <c r="G1359" s="25" t="str">
        <f ca="1">IFERROR(__xludf.DUMMYFUNCTION("""COMPUTED_VALUE"""),"IHUARI")</f>
        <v>IHUARI</v>
      </c>
      <c r="H1359" s="25" t="str">
        <f ca="1">IFERROR(__xludf.DUMMYFUNCTION("""COMPUTED_VALUE"""),"RURAL")</f>
        <v>RURAL</v>
      </c>
      <c r="I1359" s="25" t="str">
        <f ca="1">IFERROR(__xludf.DUMMYFUNCTION("""COMPUTED_VALUE"""),"Prioridad 5")</f>
        <v>Prioridad 5</v>
      </c>
      <c r="J1359" s="45"/>
    </row>
    <row r="1360" spans="2:10" ht="15.75" customHeight="1">
      <c r="B1360" s="25" t="str">
        <f ca="1">IFERROR(__xludf.DUMMYFUNCTION("""COMPUTED_VALUE"""),"MUNICIPALIDAD DISTRITAL")</f>
        <v>MUNICIPALIDAD DISTRITAL</v>
      </c>
      <c r="C1360" s="25" t="str">
        <f ca="1">IFERROR(__xludf.DUMMYFUNCTION("""COMPUTED_VALUE"""),"MUNICIPALIDAD DISTRITAL DE LAMPIAN")</f>
        <v>MUNICIPALIDAD DISTRITAL DE LAMPIAN</v>
      </c>
      <c r="D1360" s="25" t="str">
        <f ca="1">IFERROR(__xludf.DUMMYFUNCTION("""COMPUTED_VALUE"""),"SEDE CENTRAL")</f>
        <v>SEDE CENTRAL</v>
      </c>
      <c r="E1360" s="25" t="str">
        <f ca="1">IFERROR(__xludf.DUMMYFUNCTION("""COMPUTED_VALUE"""),"LIMA")</f>
        <v>LIMA</v>
      </c>
      <c r="F1360" s="25" t="str">
        <f ca="1">IFERROR(__xludf.DUMMYFUNCTION("""COMPUTED_VALUE"""),"HUARAL")</f>
        <v>HUARAL</v>
      </c>
      <c r="G1360" s="25" t="str">
        <f ca="1">IFERROR(__xludf.DUMMYFUNCTION("""COMPUTED_VALUE"""),"LAMPIAN")</f>
        <v>LAMPIAN</v>
      </c>
      <c r="H1360" s="25" t="str">
        <f ca="1">IFERROR(__xludf.DUMMYFUNCTION("""COMPUTED_VALUE"""),"RURAL")</f>
        <v>RURAL</v>
      </c>
      <c r="I1360" s="25" t="str">
        <f ca="1">IFERROR(__xludf.DUMMYFUNCTION("""COMPUTED_VALUE"""),"Prioridad 2")</f>
        <v>Prioridad 2</v>
      </c>
      <c r="J1360" s="45"/>
    </row>
    <row r="1361" spans="2:10" ht="15.75" customHeight="1">
      <c r="B1361" s="25" t="str">
        <f ca="1">IFERROR(__xludf.DUMMYFUNCTION("""COMPUTED_VALUE"""),"MUNICIPALIDAD DISTRITAL")</f>
        <v>MUNICIPALIDAD DISTRITAL</v>
      </c>
      <c r="C1361" s="25" t="str">
        <f ca="1">IFERROR(__xludf.DUMMYFUNCTION("""COMPUTED_VALUE"""),"MUNICIPALIDAD DISTRITAL DE PACARAOS")</f>
        <v>MUNICIPALIDAD DISTRITAL DE PACARAOS</v>
      </c>
      <c r="D1361" s="25" t="str">
        <f ca="1">IFERROR(__xludf.DUMMYFUNCTION("""COMPUTED_VALUE"""),"SEDE CENTRAL")</f>
        <v>SEDE CENTRAL</v>
      </c>
      <c r="E1361" s="25" t="str">
        <f ca="1">IFERROR(__xludf.DUMMYFUNCTION("""COMPUTED_VALUE"""),"LIMA")</f>
        <v>LIMA</v>
      </c>
      <c r="F1361" s="25" t="str">
        <f ca="1">IFERROR(__xludf.DUMMYFUNCTION("""COMPUTED_VALUE"""),"HUARAL")</f>
        <v>HUARAL</v>
      </c>
      <c r="G1361" s="25" t="str">
        <f ca="1">IFERROR(__xludf.DUMMYFUNCTION("""COMPUTED_VALUE"""),"PACARAOS")</f>
        <v>PACARAOS</v>
      </c>
      <c r="H1361" s="25" t="str">
        <f ca="1">IFERROR(__xludf.DUMMYFUNCTION("""COMPUTED_VALUE"""),"RURAL")</f>
        <v>RURAL</v>
      </c>
      <c r="I1361" s="25" t="str">
        <f ca="1">IFERROR(__xludf.DUMMYFUNCTION("""COMPUTED_VALUE"""),"Prioridad 2")</f>
        <v>Prioridad 2</v>
      </c>
      <c r="J1361" s="45"/>
    </row>
    <row r="1362" spans="2:10" ht="15.75" customHeight="1">
      <c r="B1362" s="25" t="str">
        <f ca="1">IFERROR(__xludf.DUMMYFUNCTION("""COMPUTED_VALUE"""),"MUNICIPALIDAD DISTRITAL")</f>
        <v>MUNICIPALIDAD DISTRITAL</v>
      </c>
      <c r="C1362" s="25" t="str">
        <f ca="1">IFERROR(__xludf.DUMMYFUNCTION("""COMPUTED_VALUE"""),"MUNICIPALIDAD DISTRITAL DE SAN MIGUEL DE ACOS")</f>
        <v>MUNICIPALIDAD DISTRITAL DE SAN MIGUEL DE ACOS</v>
      </c>
      <c r="D1362" s="25" t="str">
        <f ca="1">IFERROR(__xludf.DUMMYFUNCTION("""COMPUTED_VALUE"""),"SEDE CENTRAL")</f>
        <v>SEDE CENTRAL</v>
      </c>
      <c r="E1362" s="25" t="str">
        <f ca="1">IFERROR(__xludf.DUMMYFUNCTION("""COMPUTED_VALUE"""),"LIMA")</f>
        <v>LIMA</v>
      </c>
      <c r="F1362" s="25" t="str">
        <f ca="1">IFERROR(__xludf.DUMMYFUNCTION("""COMPUTED_VALUE"""),"HUARAL")</f>
        <v>HUARAL</v>
      </c>
      <c r="G1362" s="25" t="str">
        <f ca="1">IFERROR(__xludf.DUMMYFUNCTION("""COMPUTED_VALUE"""),"SAN MIGUEL DE ACOS")</f>
        <v>SAN MIGUEL DE ACOS</v>
      </c>
      <c r="H1362" s="25" t="str">
        <f ca="1">IFERROR(__xludf.DUMMYFUNCTION("""COMPUTED_VALUE"""),"RURAL")</f>
        <v>RURAL</v>
      </c>
      <c r="I1362" s="25" t="str">
        <f ca="1">IFERROR(__xludf.DUMMYFUNCTION("""COMPUTED_VALUE"""),"Prioridad 2")</f>
        <v>Prioridad 2</v>
      </c>
      <c r="J1362" s="45"/>
    </row>
    <row r="1363" spans="2:10" ht="15.75" customHeight="1">
      <c r="B1363" s="25" t="str">
        <f ca="1">IFERROR(__xludf.DUMMYFUNCTION("""COMPUTED_VALUE"""),"MUNICIPALIDAD DISTRITAL")</f>
        <v>MUNICIPALIDAD DISTRITAL</v>
      </c>
      <c r="C1363" s="25" t="str">
        <f ca="1">IFERROR(__xludf.DUMMYFUNCTION("""COMPUTED_VALUE"""),"MUNICIPALIDAD DISTRITAL DE SANTA CRUZ DE ANDAMARCA")</f>
        <v>MUNICIPALIDAD DISTRITAL DE SANTA CRUZ DE ANDAMARCA</v>
      </c>
      <c r="D1363" s="25" t="str">
        <f ca="1">IFERROR(__xludf.DUMMYFUNCTION("""COMPUTED_VALUE"""),"SEDE CENTRAL")</f>
        <v>SEDE CENTRAL</v>
      </c>
      <c r="E1363" s="25" t="str">
        <f ca="1">IFERROR(__xludf.DUMMYFUNCTION("""COMPUTED_VALUE"""),"LIMA")</f>
        <v>LIMA</v>
      </c>
      <c r="F1363" s="25" t="str">
        <f ca="1">IFERROR(__xludf.DUMMYFUNCTION("""COMPUTED_VALUE"""),"HUARAL")</f>
        <v>HUARAL</v>
      </c>
      <c r="G1363" s="25" t="str">
        <f ca="1">IFERROR(__xludf.DUMMYFUNCTION("""COMPUTED_VALUE"""),"SANTA CRUZ DE ANDAMARCA")</f>
        <v>SANTA CRUZ DE ANDAMARCA</v>
      </c>
      <c r="H1363" s="25" t="str">
        <f ca="1">IFERROR(__xludf.DUMMYFUNCTION("""COMPUTED_VALUE"""),"RURAL")</f>
        <v>RURAL</v>
      </c>
      <c r="I1363" s="25" t="str">
        <f ca="1">IFERROR(__xludf.DUMMYFUNCTION("""COMPUTED_VALUE"""),"Prioridad 5")</f>
        <v>Prioridad 5</v>
      </c>
      <c r="J1363" s="45"/>
    </row>
    <row r="1364" spans="2:10" ht="15.75" customHeight="1">
      <c r="B1364" s="25" t="str">
        <f ca="1">IFERROR(__xludf.DUMMYFUNCTION("""COMPUTED_VALUE"""),"MUNICIPALIDAD DISTRITAL")</f>
        <v>MUNICIPALIDAD DISTRITAL</v>
      </c>
      <c r="C1364" s="25" t="str">
        <f ca="1">IFERROR(__xludf.DUMMYFUNCTION("""COMPUTED_VALUE"""),"MUNICIPALIDAD DISTRITAL DE SUMBILCA")</f>
        <v>MUNICIPALIDAD DISTRITAL DE SUMBILCA</v>
      </c>
      <c r="D1364" s="25" t="str">
        <f ca="1">IFERROR(__xludf.DUMMYFUNCTION("""COMPUTED_VALUE"""),"SEDE CENTRAL")</f>
        <v>SEDE CENTRAL</v>
      </c>
      <c r="E1364" s="25" t="str">
        <f ca="1">IFERROR(__xludf.DUMMYFUNCTION("""COMPUTED_VALUE"""),"LIMA")</f>
        <v>LIMA</v>
      </c>
      <c r="F1364" s="25" t="str">
        <f ca="1">IFERROR(__xludf.DUMMYFUNCTION("""COMPUTED_VALUE"""),"HUARAL")</f>
        <v>HUARAL</v>
      </c>
      <c r="G1364" s="25" t="str">
        <f ca="1">IFERROR(__xludf.DUMMYFUNCTION("""COMPUTED_VALUE"""),"SUMBILCA")</f>
        <v>SUMBILCA</v>
      </c>
      <c r="H1364" s="25" t="str">
        <f ca="1">IFERROR(__xludf.DUMMYFUNCTION("""COMPUTED_VALUE"""),"RURAL")</f>
        <v>RURAL</v>
      </c>
      <c r="I1364" s="25" t="str">
        <f ca="1">IFERROR(__xludf.DUMMYFUNCTION("""COMPUTED_VALUE"""),"Prioridad 5")</f>
        <v>Prioridad 5</v>
      </c>
      <c r="J1364" s="45"/>
    </row>
    <row r="1365" spans="2:10" ht="15.75" customHeight="1">
      <c r="B1365" s="25" t="str">
        <f ca="1">IFERROR(__xludf.DUMMYFUNCTION("""COMPUTED_VALUE"""),"MUNICIPALIDAD DISTRITAL")</f>
        <v>MUNICIPALIDAD DISTRITAL</v>
      </c>
      <c r="C1365" s="25" t="str">
        <f ca="1">IFERROR(__xludf.DUMMYFUNCTION("""COMPUTED_VALUE"""),"MUNICIPALIDAD DISTRITAL DE VEINTISIETE DE NOVIEMBRE")</f>
        <v>MUNICIPALIDAD DISTRITAL DE VEINTISIETE DE NOVIEMBRE</v>
      </c>
      <c r="D1365" s="25" t="str">
        <f ca="1">IFERROR(__xludf.DUMMYFUNCTION("""COMPUTED_VALUE"""),"SEDE CENTRAL")</f>
        <v>SEDE CENTRAL</v>
      </c>
      <c r="E1365" s="25" t="str">
        <f ca="1">IFERROR(__xludf.DUMMYFUNCTION("""COMPUTED_VALUE"""),"LIMA")</f>
        <v>LIMA</v>
      </c>
      <c r="F1365" s="25" t="str">
        <f ca="1">IFERROR(__xludf.DUMMYFUNCTION("""COMPUTED_VALUE"""),"HUARAL")</f>
        <v>HUARAL</v>
      </c>
      <c r="G1365" s="25" t="str">
        <f ca="1">IFERROR(__xludf.DUMMYFUNCTION("""COMPUTED_VALUE"""),"VEINTISIETE DE NOVIEMBRE")</f>
        <v>VEINTISIETE DE NOVIEMBRE</v>
      </c>
      <c r="H1365" s="25" t="str">
        <f ca="1">IFERROR(__xludf.DUMMYFUNCTION("""COMPUTED_VALUE"""),"RURAL")</f>
        <v>RURAL</v>
      </c>
      <c r="I1365" s="25" t="str">
        <f ca="1">IFERROR(__xludf.DUMMYFUNCTION("""COMPUTED_VALUE"""),"Prioridad 4")</f>
        <v>Prioridad 4</v>
      </c>
      <c r="J1365" s="45"/>
    </row>
    <row r="1366" spans="2:10" ht="15.75" customHeight="1">
      <c r="B1366" s="25" t="str">
        <f ca="1">IFERROR(__xludf.DUMMYFUNCTION("""COMPUTED_VALUE"""),"MUNICIPALIDAD PROVINCIAL")</f>
        <v>MUNICIPALIDAD PROVINCIAL</v>
      </c>
      <c r="C1366" s="25" t="str">
        <f ca="1">IFERROR(__xludf.DUMMYFUNCTION("""COMPUTED_VALUE"""),"MUNICIPALIDAD PROVINCIAL DE HUAROCHIRI")</f>
        <v>MUNICIPALIDAD PROVINCIAL DE HUAROCHIRI</v>
      </c>
      <c r="D1366" s="25" t="str">
        <f ca="1">IFERROR(__xludf.DUMMYFUNCTION("""COMPUTED_VALUE"""),"SEDE CENTRAL")</f>
        <v>SEDE CENTRAL</v>
      </c>
      <c r="E1366" s="25" t="str">
        <f ca="1">IFERROR(__xludf.DUMMYFUNCTION("""COMPUTED_VALUE"""),"LIMA")</f>
        <v>LIMA</v>
      </c>
      <c r="F1366" s="25" t="str">
        <f ca="1">IFERROR(__xludf.DUMMYFUNCTION("""COMPUTED_VALUE"""),"HUAROCHIRI")</f>
        <v>HUAROCHIRI</v>
      </c>
      <c r="G1366" s="25" t="str">
        <f ca="1">IFERROR(__xludf.DUMMYFUNCTION("""COMPUTED_VALUE"""),"MATUCANA")</f>
        <v>MATUCANA</v>
      </c>
      <c r="H1366" s="25" t="str">
        <f ca="1">IFERROR(__xludf.DUMMYFUNCTION("""COMPUTED_VALUE"""),"URBANO")</f>
        <v>URBANO</v>
      </c>
      <c r="I1366" s="25" t="str">
        <f ca="1">IFERROR(__xludf.DUMMYFUNCTION("""COMPUTED_VALUE"""),"Prioridad 1")</f>
        <v>Prioridad 1</v>
      </c>
      <c r="J1366" s="45"/>
    </row>
    <row r="1367" spans="2:10" ht="15.75" customHeight="1">
      <c r="B1367" s="25" t="str">
        <f ca="1">IFERROR(__xludf.DUMMYFUNCTION("""COMPUTED_VALUE"""),"MUNICIPALIDAD DISTRITAL")</f>
        <v>MUNICIPALIDAD DISTRITAL</v>
      </c>
      <c r="C1367" s="25" t="str">
        <f ca="1">IFERROR(__xludf.DUMMYFUNCTION("""COMPUTED_VALUE"""),"MUNICIPALIDAD DISTRITAL DE ANTIOQUIA")</f>
        <v>MUNICIPALIDAD DISTRITAL DE ANTIOQUIA</v>
      </c>
      <c r="D1367" s="25" t="str">
        <f ca="1">IFERROR(__xludf.DUMMYFUNCTION("""COMPUTED_VALUE"""),"SEDE CENTRAL")</f>
        <v>SEDE CENTRAL</v>
      </c>
      <c r="E1367" s="25" t="str">
        <f ca="1">IFERROR(__xludf.DUMMYFUNCTION("""COMPUTED_VALUE"""),"LIMA")</f>
        <v>LIMA</v>
      </c>
      <c r="F1367" s="25" t="str">
        <f ca="1">IFERROR(__xludf.DUMMYFUNCTION("""COMPUTED_VALUE"""),"HUAROCHIRI")</f>
        <v>HUAROCHIRI</v>
      </c>
      <c r="G1367" s="25" t="str">
        <f ca="1">IFERROR(__xludf.DUMMYFUNCTION("""COMPUTED_VALUE"""),"ANTIOQUIA")</f>
        <v>ANTIOQUIA</v>
      </c>
      <c r="H1367" s="25" t="str">
        <f ca="1">IFERROR(__xludf.DUMMYFUNCTION("""COMPUTED_VALUE"""),"RURAL")</f>
        <v>RURAL</v>
      </c>
      <c r="I1367" s="25" t="str">
        <f ca="1">IFERROR(__xludf.DUMMYFUNCTION("""COMPUTED_VALUE"""),"Prioridad 3")</f>
        <v>Prioridad 3</v>
      </c>
      <c r="J1367" s="45"/>
    </row>
    <row r="1368" spans="2:10" ht="15.75" customHeight="1">
      <c r="B1368" s="25" t="str">
        <f ca="1">IFERROR(__xludf.DUMMYFUNCTION("""COMPUTED_VALUE"""),"MUNICIPALIDAD DISTRITAL")</f>
        <v>MUNICIPALIDAD DISTRITAL</v>
      </c>
      <c r="C1368" s="25" t="str">
        <f ca="1">IFERROR(__xludf.DUMMYFUNCTION("""COMPUTED_VALUE"""),"MUNICIPALIDAD DISTRITAL DE CALLAHUANCA")</f>
        <v>MUNICIPALIDAD DISTRITAL DE CALLAHUANCA</v>
      </c>
      <c r="D1368" s="25" t="str">
        <f ca="1">IFERROR(__xludf.DUMMYFUNCTION("""COMPUTED_VALUE"""),"SEDE CENTRAL")</f>
        <v>SEDE CENTRAL</v>
      </c>
      <c r="E1368" s="25" t="str">
        <f ca="1">IFERROR(__xludf.DUMMYFUNCTION("""COMPUTED_VALUE"""),"LIMA")</f>
        <v>LIMA</v>
      </c>
      <c r="F1368" s="25" t="str">
        <f ca="1">IFERROR(__xludf.DUMMYFUNCTION("""COMPUTED_VALUE"""),"HUAROCHIRI")</f>
        <v>HUAROCHIRI</v>
      </c>
      <c r="G1368" s="25" t="str">
        <f ca="1">IFERROR(__xludf.DUMMYFUNCTION("""COMPUTED_VALUE"""),"CALLAHUANCA")</f>
        <v>CALLAHUANCA</v>
      </c>
      <c r="H1368" s="25" t="str">
        <f ca="1">IFERROR(__xludf.DUMMYFUNCTION("""COMPUTED_VALUE"""),"RURAL")</f>
        <v>RURAL</v>
      </c>
      <c r="I1368" s="25" t="str">
        <f ca="1">IFERROR(__xludf.DUMMYFUNCTION("""COMPUTED_VALUE"""),"Prioridad 4")</f>
        <v>Prioridad 4</v>
      </c>
      <c r="J1368" s="45"/>
    </row>
    <row r="1369" spans="2:10" ht="15.75" customHeight="1">
      <c r="B1369" s="25" t="str">
        <f ca="1">IFERROR(__xludf.DUMMYFUNCTION("""COMPUTED_VALUE"""),"MUNICIPALIDAD DISTRITAL")</f>
        <v>MUNICIPALIDAD DISTRITAL</v>
      </c>
      <c r="C1369" s="25" t="str">
        <f ca="1">IFERROR(__xludf.DUMMYFUNCTION("""COMPUTED_VALUE"""),"MUNICIPALIDAD DISTRITAL DE CARAMPOMA")</f>
        <v>MUNICIPALIDAD DISTRITAL DE CARAMPOMA</v>
      </c>
      <c r="D1369" s="25" t="str">
        <f ca="1">IFERROR(__xludf.DUMMYFUNCTION("""COMPUTED_VALUE"""),"SEDE CENTRAL")</f>
        <v>SEDE CENTRAL</v>
      </c>
      <c r="E1369" s="25" t="str">
        <f ca="1">IFERROR(__xludf.DUMMYFUNCTION("""COMPUTED_VALUE"""),"LIMA")</f>
        <v>LIMA</v>
      </c>
      <c r="F1369" s="25" t="str">
        <f ca="1">IFERROR(__xludf.DUMMYFUNCTION("""COMPUTED_VALUE"""),"HUAROCHIRI")</f>
        <v>HUAROCHIRI</v>
      </c>
      <c r="G1369" s="25" t="str">
        <f ca="1">IFERROR(__xludf.DUMMYFUNCTION("""COMPUTED_VALUE"""),"CARAMPOMA")</f>
        <v>CARAMPOMA</v>
      </c>
      <c r="H1369" s="25" t="str">
        <f ca="1">IFERROR(__xludf.DUMMYFUNCTION("""COMPUTED_VALUE"""),"RURAL")</f>
        <v>RURAL</v>
      </c>
      <c r="I1369" s="25" t="str">
        <f ca="1">IFERROR(__xludf.DUMMYFUNCTION("""COMPUTED_VALUE"""),"Prioridad 4")</f>
        <v>Prioridad 4</v>
      </c>
      <c r="J1369" s="45"/>
    </row>
    <row r="1370" spans="2:10" ht="15.75" customHeight="1">
      <c r="B1370" s="25" t="str">
        <f ca="1">IFERROR(__xludf.DUMMYFUNCTION("""COMPUTED_VALUE"""),"MUNICIPALIDAD DISTRITAL")</f>
        <v>MUNICIPALIDAD DISTRITAL</v>
      </c>
      <c r="C1370" s="25" t="str">
        <f ca="1">IFERROR(__xludf.DUMMYFUNCTION("""COMPUTED_VALUE"""),"MUNICIPALIDAD DISTRITAL DE CHICLA")</f>
        <v>MUNICIPALIDAD DISTRITAL DE CHICLA</v>
      </c>
      <c r="D1370" s="25" t="str">
        <f ca="1">IFERROR(__xludf.DUMMYFUNCTION("""COMPUTED_VALUE"""),"SEDE CENTRAL")</f>
        <v>SEDE CENTRAL</v>
      </c>
      <c r="E1370" s="25" t="str">
        <f ca="1">IFERROR(__xludf.DUMMYFUNCTION("""COMPUTED_VALUE"""),"LIMA")</f>
        <v>LIMA</v>
      </c>
      <c r="F1370" s="25" t="str">
        <f ca="1">IFERROR(__xludf.DUMMYFUNCTION("""COMPUTED_VALUE"""),"HUAROCHIRI")</f>
        <v>HUAROCHIRI</v>
      </c>
      <c r="G1370" s="25" t="str">
        <f ca="1">IFERROR(__xludf.DUMMYFUNCTION("""COMPUTED_VALUE"""),"CHICLA")</f>
        <v>CHICLA</v>
      </c>
      <c r="H1370" s="25" t="str">
        <f ca="1">IFERROR(__xludf.DUMMYFUNCTION("""COMPUTED_VALUE"""),"URBANO")</f>
        <v>URBANO</v>
      </c>
      <c r="I1370" s="25" t="str">
        <f ca="1">IFERROR(__xludf.DUMMYFUNCTION("""COMPUTED_VALUE"""),"Prioridad 5")</f>
        <v>Prioridad 5</v>
      </c>
      <c r="J1370" s="45"/>
    </row>
    <row r="1371" spans="2:10" ht="15.75" customHeight="1">
      <c r="B1371" s="25" t="str">
        <f ca="1">IFERROR(__xludf.DUMMYFUNCTION("""COMPUTED_VALUE"""),"MUNICIPALIDAD DISTRITAL")</f>
        <v>MUNICIPALIDAD DISTRITAL</v>
      </c>
      <c r="C1371" s="25" t="str">
        <f ca="1">IFERROR(__xludf.DUMMYFUNCTION("""COMPUTED_VALUE"""),"MUNICIPALIDAD DISTRITAL DE CUENCA EN HUAROCHIRI")</f>
        <v>MUNICIPALIDAD DISTRITAL DE CUENCA EN HUAROCHIRI</v>
      </c>
      <c r="D1371" s="25" t="str">
        <f ca="1">IFERROR(__xludf.DUMMYFUNCTION("""COMPUTED_VALUE"""),"SEDE CENTRAL")</f>
        <v>SEDE CENTRAL</v>
      </c>
      <c r="E1371" s="25" t="str">
        <f ca="1">IFERROR(__xludf.DUMMYFUNCTION("""COMPUTED_VALUE"""),"LIMA")</f>
        <v>LIMA</v>
      </c>
      <c r="F1371" s="25" t="str">
        <f ca="1">IFERROR(__xludf.DUMMYFUNCTION("""COMPUTED_VALUE"""),"HUAROCHIRI")</f>
        <v>HUAROCHIRI</v>
      </c>
      <c r="G1371" s="25" t="str">
        <f ca="1">IFERROR(__xludf.DUMMYFUNCTION("""COMPUTED_VALUE"""),"CUENCA")</f>
        <v>CUENCA</v>
      </c>
      <c r="H1371" s="25" t="str">
        <f ca="1">IFERROR(__xludf.DUMMYFUNCTION("""COMPUTED_VALUE"""),"RURAL")</f>
        <v>RURAL</v>
      </c>
      <c r="I1371" s="25" t="str">
        <f ca="1">IFERROR(__xludf.DUMMYFUNCTION("""COMPUTED_VALUE"""),"Prioridad 3")</f>
        <v>Prioridad 3</v>
      </c>
      <c r="J1371" s="45"/>
    </row>
    <row r="1372" spans="2:10" ht="15.75" customHeight="1">
      <c r="B1372" s="25" t="str">
        <f ca="1">IFERROR(__xludf.DUMMYFUNCTION("""COMPUTED_VALUE"""),"MUNICIPALIDAD DISTRITAL")</f>
        <v>MUNICIPALIDAD DISTRITAL</v>
      </c>
      <c r="C1372" s="25" t="str">
        <f ca="1">IFERROR(__xludf.DUMMYFUNCTION("""COMPUTED_VALUE"""),"MUNICIPALIDAD DISTRITAL DE HUACHUPAMPA")</f>
        <v>MUNICIPALIDAD DISTRITAL DE HUACHUPAMPA</v>
      </c>
      <c r="D1372" s="25" t="str">
        <f ca="1">IFERROR(__xludf.DUMMYFUNCTION("""COMPUTED_VALUE"""),"SEDE CENTRAL")</f>
        <v>SEDE CENTRAL</v>
      </c>
      <c r="E1372" s="25" t="str">
        <f ca="1">IFERROR(__xludf.DUMMYFUNCTION("""COMPUTED_VALUE"""),"LIMA")</f>
        <v>LIMA</v>
      </c>
      <c r="F1372" s="25" t="str">
        <f ca="1">IFERROR(__xludf.DUMMYFUNCTION("""COMPUTED_VALUE"""),"HUAROCHIRI")</f>
        <v>HUAROCHIRI</v>
      </c>
      <c r="G1372" s="25" t="str">
        <f ca="1">IFERROR(__xludf.DUMMYFUNCTION("""COMPUTED_VALUE"""),"HUACHUPAMPA")</f>
        <v>HUACHUPAMPA</v>
      </c>
      <c r="H1372" s="25" t="str">
        <f ca="1">IFERROR(__xludf.DUMMYFUNCTION("""COMPUTED_VALUE"""),"RURAL")</f>
        <v>RURAL</v>
      </c>
      <c r="I1372" s="25" t="str">
        <f ca="1">IFERROR(__xludf.DUMMYFUNCTION("""COMPUTED_VALUE"""),"Prioridad 5")</f>
        <v>Prioridad 5</v>
      </c>
      <c r="J1372" s="45"/>
    </row>
    <row r="1373" spans="2:10" ht="15.75" customHeight="1">
      <c r="B1373" s="25" t="str">
        <f ca="1">IFERROR(__xludf.DUMMYFUNCTION("""COMPUTED_VALUE"""),"MUNICIPALIDAD DISTRITAL")</f>
        <v>MUNICIPALIDAD DISTRITAL</v>
      </c>
      <c r="C1373" s="25" t="str">
        <f ca="1">IFERROR(__xludf.DUMMYFUNCTION("""COMPUTED_VALUE"""),"MUNICIPALIDAD DISTRITAL DE HUANZA")</f>
        <v>MUNICIPALIDAD DISTRITAL DE HUANZA</v>
      </c>
      <c r="D1373" s="25" t="str">
        <f ca="1">IFERROR(__xludf.DUMMYFUNCTION("""COMPUTED_VALUE"""),"SEDE CENTRAL")</f>
        <v>SEDE CENTRAL</v>
      </c>
      <c r="E1373" s="25" t="str">
        <f ca="1">IFERROR(__xludf.DUMMYFUNCTION("""COMPUTED_VALUE"""),"LIMA")</f>
        <v>LIMA</v>
      </c>
      <c r="F1373" s="25" t="str">
        <f ca="1">IFERROR(__xludf.DUMMYFUNCTION("""COMPUTED_VALUE"""),"HUAROCHIRI")</f>
        <v>HUAROCHIRI</v>
      </c>
      <c r="G1373" s="25" t="str">
        <f ca="1">IFERROR(__xludf.DUMMYFUNCTION("""COMPUTED_VALUE"""),"HUANZA")</f>
        <v>HUANZA</v>
      </c>
      <c r="H1373" s="25" t="str">
        <f ca="1">IFERROR(__xludf.DUMMYFUNCTION("""COMPUTED_VALUE"""),"RURAL")</f>
        <v>RURAL</v>
      </c>
      <c r="I1373" s="25" t="str">
        <f ca="1">IFERROR(__xludf.DUMMYFUNCTION("""COMPUTED_VALUE"""),"Prioridad 4")</f>
        <v>Prioridad 4</v>
      </c>
      <c r="J1373" s="45"/>
    </row>
    <row r="1374" spans="2:10" ht="15.75" customHeight="1">
      <c r="B1374" s="25" t="str">
        <f ca="1">IFERROR(__xludf.DUMMYFUNCTION("""COMPUTED_VALUE"""),"MUNICIPALIDAD DISTRITAL")</f>
        <v>MUNICIPALIDAD DISTRITAL</v>
      </c>
      <c r="C1374" s="25" t="str">
        <f ca="1">IFERROR(__xludf.DUMMYFUNCTION("""COMPUTED_VALUE"""),"MUNICIPALIDAD DISTRITAL DE HUAROCHIRI")</f>
        <v>MUNICIPALIDAD DISTRITAL DE HUAROCHIRI</v>
      </c>
      <c r="D1374" s="25" t="str">
        <f ca="1">IFERROR(__xludf.DUMMYFUNCTION("""COMPUTED_VALUE"""),"SEDE CENTRAL")</f>
        <v>SEDE CENTRAL</v>
      </c>
      <c r="E1374" s="25" t="str">
        <f ca="1">IFERROR(__xludf.DUMMYFUNCTION("""COMPUTED_VALUE"""),"LIMA")</f>
        <v>LIMA</v>
      </c>
      <c r="F1374" s="25" t="str">
        <f ca="1">IFERROR(__xludf.DUMMYFUNCTION("""COMPUTED_VALUE"""),"HUAROCHIRI")</f>
        <v>HUAROCHIRI</v>
      </c>
      <c r="G1374" s="25" t="str">
        <f ca="1">IFERROR(__xludf.DUMMYFUNCTION("""COMPUTED_VALUE"""),"HUAROCHIRI")</f>
        <v>HUAROCHIRI</v>
      </c>
      <c r="H1374" s="25" t="str">
        <f ca="1">IFERROR(__xludf.DUMMYFUNCTION("""COMPUTED_VALUE"""),"RURAL")</f>
        <v>RURAL</v>
      </c>
      <c r="I1374" s="25" t="str">
        <f ca="1">IFERROR(__xludf.DUMMYFUNCTION("""COMPUTED_VALUE"""),"Prioridad 1")</f>
        <v>Prioridad 1</v>
      </c>
      <c r="J1374" s="45"/>
    </row>
    <row r="1375" spans="2:10" ht="15.75" customHeight="1">
      <c r="B1375" s="25" t="str">
        <f ca="1">IFERROR(__xludf.DUMMYFUNCTION("""COMPUTED_VALUE"""),"MUNICIPALIDAD DISTRITAL")</f>
        <v>MUNICIPALIDAD DISTRITAL</v>
      </c>
      <c r="C1375" s="25" t="str">
        <f ca="1">IFERROR(__xludf.DUMMYFUNCTION("""COMPUTED_VALUE"""),"MUNICIPALIDAD DISTRITAL DE LAHUAYTAMBO")</f>
        <v>MUNICIPALIDAD DISTRITAL DE LAHUAYTAMBO</v>
      </c>
      <c r="D1375" s="25" t="str">
        <f ca="1">IFERROR(__xludf.DUMMYFUNCTION("""COMPUTED_VALUE"""),"SEDE CENTRAL")</f>
        <v>SEDE CENTRAL</v>
      </c>
      <c r="E1375" s="25" t="str">
        <f ca="1">IFERROR(__xludf.DUMMYFUNCTION("""COMPUTED_VALUE"""),"LIMA")</f>
        <v>LIMA</v>
      </c>
      <c r="F1375" s="25" t="str">
        <f ca="1">IFERROR(__xludf.DUMMYFUNCTION("""COMPUTED_VALUE"""),"HUAROCHIRI")</f>
        <v>HUAROCHIRI</v>
      </c>
      <c r="G1375" s="25" t="str">
        <f ca="1">IFERROR(__xludf.DUMMYFUNCTION("""COMPUTED_VALUE"""),"LAHUAYTAMBO")</f>
        <v>LAHUAYTAMBO</v>
      </c>
      <c r="H1375" s="25" t="str">
        <f ca="1">IFERROR(__xludf.DUMMYFUNCTION("""COMPUTED_VALUE"""),"RURAL")</f>
        <v>RURAL</v>
      </c>
      <c r="I1375" s="25" t="str">
        <f ca="1">IFERROR(__xludf.DUMMYFUNCTION("""COMPUTED_VALUE"""),"Prioridad 5")</f>
        <v>Prioridad 5</v>
      </c>
      <c r="J1375" s="45"/>
    </row>
    <row r="1376" spans="2:10" ht="15.75" customHeight="1">
      <c r="B1376" s="25" t="str">
        <f ca="1">IFERROR(__xludf.DUMMYFUNCTION("""COMPUTED_VALUE"""),"MUNICIPALIDAD DISTRITAL")</f>
        <v>MUNICIPALIDAD DISTRITAL</v>
      </c>
      <c r="C1376" s="25" t="str">
        <f ca="1">IFERROR(__xludf.DUMMYFUNCTION("""COMPUTED_VALUE"""),"MUNICIPALIDAD DISTRITAL DE LANGA")</f>
        <v>MUNICIPALIDAD DISTRITAL DE LANGA</v>
      </c>
      <c r="D1376" s="25" t="str">
        <f ca="1">IFERROR(__xludf.DUMMYFUNCTION("""COMPUTED_VALUE"""),"SEDE CENTRAL")</f>
        <v>SEDE CENTRAL</v>
      </c>
      <c r="E1376" s="25" t="str">
        <f ca="1">IFERROR(__xludf.DUMMYFUNCTION("""COMPUTED_VALUE"""),"LIMA")</f>
        <v>LIMA</v>
      </c>
      <c r="F1376" s="25" t="str">
        <f ca="1">IFERROR(__xludf.DUMMYFUNCTION("""COMPUTED_VALUE"""),"HUAROCHIRI")</f>
        <v>HUAROCHIRI</v>
      </c>
      <c r="G1376" s="25" t="str">
        <f ca="1">IFERROR(__xludf.DUMMYFUNCTION("""COMPUTED_VALUE"""),"LANGA")</f>
        <v>LANGA</v>
      </c>
      <c r="H1376" s="25" t="str">
        <f ca="1">IFERROR(__xludf.DUMMYFUNCTION("""COMPUTED_VALUE"""),"RURAL")</f>
        <v>RURAL</v>
      </c>
      <c r="I1376" s="25" t="str">
        <f ca="1">IFERROR(__xludf.DUMMYFUNCTION("""COMPUTED_VALUE"""),"Prioridad 5")</f>
        <v>Prioridad 5</v>
      </c>
      <c r="J1376" s="45"/>
    </row>
    <row r="1377" spans="2:10" ht="15.75" customHeight="1">
      <c r="B1377" s="25" t="str">
        <f ca="1">IFERROR(__xludf.DUMMYFUNCTION("""COMPUTED_VALUE"""),"MUNICIPALIDAD DISTRITAL")</f>
        <v>MUNICIPALIDAD DISTRITAL</v>
      </c>
      <c r="C1377" s="25" t="str">
        <f ca="1">IFERROR(__xludf.DUMMYFUNCTION("""COMPUTED_VALUE"""),"MUNICIPALIDAD DISTRITAL DE SAN PEDRO DE LARAOS")</f>
        <v>MUNICIPALIDAD DISTRITAL DE SAN PEDRO DE LARAOS</v>
      </c>
      <c r="D1377" s="25" t="str">
        <f ca="1">IFERROR(__xludf.DUMMYFUNCTION("""COMPUTED_VALUE"""),"SEDE CENTRAL")</f>
        <v>SEDE CENTRAL</v>
      </c>
      <c r="E1377" s="25" t="str">
        <f ca="1">IFERROR(__xludf.DUMMYFUNCTION("""COMPUTED_VALUE"""),"LIMA")</f>
        <v>LIMA</v>
      </c>
      <c r="F1377" s="25" t="str">
        <f ca="1">IFERROR(__xludf.DUMMYFUNCTION("""COMPUTED_VALUE"""),"HUAROCHIRI")</f>
        <v>HUAROCHIRI</v>
      </c>
      <c r="G1377" s="25" t="str">
        <f ca="1">IFERROR(__xludf.DUMMYFUNCTION("""COMPUTED_VALUE"""),"SAN PEDRO DE LARAOS")</f>
        <v>SAN PEDRO DE LARAOS</v>
      </c>
      <c r="H1377" s="25" t="str">
        <f ca="1">IFERROR(__xludf.DUMMYFUNCTION("""COMPUTED_VALUE"""),"RURAL")</f>
        <v>RURAL</v>
      </c>
      <c r="I1377" s="25" t="str">
        <f ca="1">IFERROR(__xludf.DUMMYFUNCTION("""COMPUTED_VALUE"""),"Prioridad 5")</f>
        <v>Prioridad 5</v>
      </c>
      <c r="J1377" s="45"/>
    </row>
    <row r="1378" spans="2:10" ht="15.75" customHeight="1">
      <c r="B1378" s="25" t="str">
        <f ca="1">IFERROR(__xludf.DUMMYFUNCTION("""COMPUTED_VALUE"""),"MUNICIPALIDAD DISTRITAL")</f>
        <v>MUNICIPALIDAD DISTRITAL</v>
      </c>
      <c r="C1378" s="25" t="str">
        <f ca="1">IFERROR(__xludf.DUMMYFUNCTION("""COMPUTED_VALUE"""),"MUNICIPALIDAD DISTRITAL DE MARIATANA")</f>
        <v>MUNICIPALIDAD DISTRITAL DE MARIATANA</v>
      </c>
      <c r="D1378" s="25" t="str">
        <f ca="1">IFERROR(__xludf.DUMMYFUNCTION("""COMPUTED_VALUE"""),"SEDE CENTRAL")</f>
        <v>SEDE CENTRAL</v>
      </c>
      <c r="E1378" s="25" t="str">
        <f ca="1">IFERROR(__xludf.DUMMYFUNCTION("""COMPUTED_VALUE"""),"LIMA")</f>
        <v>LIMA</v>
      </c>
      <c r="F1378" s="25" t="str">
        <f ca="1">IFERROR(__xludf.DUMMYFUNCTION("""COMPUTED_VALUE"""),"HUAROCHIRI")</f>
        <v>HUAROCHIRI</v>
      </c>
      <c r="G1378" s="25" t="str">
        <f ca="1">IFERROR(__xludf.DUMMYFUNCTION("""COMPUTED_VALUE"""),"MARIATANA")</f>
        <v>MARIATANA</v>
      </c>
      <c r="H1378" s="25" t="str">
        <f ca="1">IFERROR(__xludf.DUMMYFUNCTION("""COMPUTED_VALUE"""),"RURAL")</f>
        <v>RURAL</v>
      </c>
      <c r="I1378" s="25" t="str">
        <f ca="1">IFERROR(__xludf.DUMMYFUNCTION("""COMPUTED_VALUE"""),"Prioridad 5")</f>
        <v>Prioridad 5</v>
      </c>
      <c r="J1378" s="45"/>
    </row>
    <row r="1379" spans="2:10" ht="15.75" customHeight="1">
      <c r="B1379" s="25" t="str">
        <f ca="1">IFERROR(__xludf.DUMMYFUNCTION("""COMPUTED_VALUE"""),"MUNICIPALIDAD DISTRITAL")</f>
        <v>MUNICIPALIDAD DISTRITAL</v>
      </c>
      <c r="C1379" s="25" t="str">
        <f ca="1">IFERROR(__xludf.DUMMYFUNCTION("""COMPUTED_VALUE"""),"MUNICIPALIDAD DISTRITAL DE RICARDO PALMA")</f>
        <v>MUNICIPALIDAD DISTRITAL DE RICARDO PALMA</v>
      </c>
      <c r="D1379" s="25" t="str">
        <f ca="1">IFERROR(__xludf.DUMMYFUNCTION("""COMPUTED_VALUE"""),"SEDE CENTRAL")</f>
        <v>SEDE CENTRAL</v>
      </c>
      <c r="E1379" s="25" t="str">
        <f ca="1">IFERROR(__xludf.DUMMYFUNCTION("""COMPUTED_VALUE"""),"LIMA")</f>
        <v>LIMA</v>
      </c>
      <c r="F1379" s="25" t="str">
        <f ca="1">IFERROR(__xludf.DUMMYFUNCTION("""COMPUTED_VALUE"""),"HUAROCHIRI")</f>
        <v>HUAROCHIRI</v>
      </c>
      <c r="G1379" s="25" t="str">
        <f ca="1">IFERROR(__xludf.DUMMYFUNCTION("""COMPUTED_VALUE"""),"RICARDO PALMA")</f>
        <v>RICARDO PALMA</v>
      </c>
      <c r="H1379" s="25" t="str">
        <f ca="1">IFERROR(__xludf.DUMMYFUNCTION("""COMPUTED_VALUE"""),"URBANO")</f>
        <v>URBANO</v>
      </c>
      <c r="I1379" s="25" t="str">
        <f ca="1">IFERROR(__xludf.DUMMYFUNCTION("""COMPUTED_VALUE"""),"Prioridad 1")</f>
        <v>Prioridad 1</v>
      </c>
      <c r="J1379" s="45"/>
    </row>
    <row r="1380" spans="2:10" ht="15.75" customHeight="1">
      <c r="B1380" s="25" t="str">
        <f ca="1">IFERROR(__xludf.DUMMYFUNCTION("""COMPUTED_VALUE"""),"MUNICIPALIDAD DISTRITAL")</f>
        <v>MUNICIPALIDAD DISTRITAL</v>
      </c>
      <c r="C1380" s="25" t="str">
        <f ca="1">IFERROR(__xludf.DUMMYFUNCTION("""COMPUTED_VALUE"""),"MUNICIPALIDAD DISTRITAL DE SAN ANDRES DE TUPICOCHA")</f>
        <v>MUNICIPALIDAD DISTRITAL DE SAN ANDRES DE TUPICOCHA</v>
      </c>
      <c r="D1380" s="25" t="str">
        <f ca="1">IFERROR(__xludf.DUMMYFUNCTION("""COMPUTED_VALUE"""),"SEDE CENTRAL")</f>
        <v>SEDE CENTRAL</v>
      </c>
      <c r="E1380" s="25" t="str">
        <f ca="1">IFERROR(__xludf.DUMMYFUNCTION("""COMPUTED_VALUE"""),"LIMA")</f>
        <v>LIMA</v>
      </c>
      <c r="F1380" s="25" t="str">
        <f ca="1">IFERROR(__xludf.DUMMYFUNCTION("""COMPUTED_VALUE"""),"HUAROCHIRI")</f>
        <v>HUAROCHIRI</v>
      </c>
      <c r="G1380" s="25" t="str">
        <f ca="1">IFERROR(__xludf.DUMMYFUNCTION("""COMPUTED_VALUE"""),"SAN ANDRES DE TUPICOCHA")</f>
        <v>SAN ANDRES DE TUPICOCHA</v>
      </c>
      <c r="H1380" s="25" t="str">
        <f ca="1">IFERROR(__xludf.DUMMYFUNCTION("""COMPUTED_VALUE"""),"RURAL")</f>
        <v>RURAL</v>
      </c>
      <c r="I1380" s="25" t="str">
        <f ca="1">IFERROR(__xludf.DUMMYFUNCTION("""COMPUTED_VALUE"""),"Prioridad 5")</f>
        <v>Prioridad 5</v>
      </c>
      <c r="J1380" s="45"/>
    </row>
    <row r="1381" spans="2:10" ht="15.75" customHeight="1">
      <c r="B1381" s="25" t="str">
        <f ca="1">IFERROR(__xludf.DUMMYFUNCTION("""COMPUTED_VALUE"""),"MUNICIPALIDAD DISTRITAL")</f>
        <v>MUNICIPALIDAD DISTRITAL</v>
      </c>
      <c r="C1381" s="25" t="str">
        <f ca="1">IFERROR(__xludf.DUMMYFUNCTION("""COMPUTED_VALUE"""),"MUNICIPALIDAD DISTRITAL DE SAN ANTONIO EN HUAROCHIRI")</f>
        <v>MUNICIPALIDAD DISTRITAL DE SAN ANTONIO EN HUAROCHIRI</v>
      </c>
      <c r="D1381" s="25" t="str">
        <f ca="1">IFERROR(__xludf.DUMMYFUNCTION("""COMPUTED_VALUE"""),"SEDE CENTRAL")</f>
        <v>SEDE CENTRAL</v>
      </c>
      <c r="E1381" s="25" t="str">
        <f ca="1">IFERROR(__xludf.DUMMYFUNCTION("""COMPUTED_VALUE"""),"LIMA")</f>
        <v>LIMA</v>
      </c>
      <c r="F1381" s="25" t="str">
        <f ca="1">IFERROR(__xludf.DUMMYFUNCTION("""COMPUTED_VALUE"""),"HUAROCHIRI")</f>
        <v>HUAROCHIRI</v>
      </c>
      <c r="G1381" s="25" t="str">
        <f ca="1">IFERROR(__xludf.DUMMYFUNCTION("""COMPUTED_VALUE"""),"SAN ANTONIO")</f>
        <v>SAN ANTONIO</v>
      </c>
      <c r="H1381" s="25" t="str">
        <f ca="1">IFERROR(__xludf.DUMMYFUNCTION("""COMPUTED_VALUE"""),"RURAL")</f>
        <v>RURAL</v>
      </c>
      <c r="I1381" s="25" t="str">
        <f ca="1">IFERROR(__xludf.DUMMYFUNCTION("""COMPUTED_VALUE"""),"Prioridad 3")</f>
        <v>Prioridad 3</v>
      </c>
      <c r="J1381" s="45"/>
    </row>
    <row r="1382" spans="2:10" ht="15.75" customHeight="1">
      <c r="B1382" s="25" t="str">
        <f ca="1">IFERROR(__xludf.DUMMYFUNCTION("""COMPUTED_VALUE"""),"OTROS")</f>
        <v>OTROS</v>
      </c>
      <c r="C1382" s="25" t="str">
        <f ca="1">IFERROR(__xludf.DUMMYFUNCTION("""COMPUTED_VALUE"""),"CONSERVATORIO REGIONAL DE MÚSICA DEL NORTE PÚBLICO ""CARLOS VALDERRAMA""")</f>
        <v>CONSERVATORIO REGIONAL DE MÚSICA DEL NORTE PÚBLICO "CARLOS VALDERRAMA"</v>
      </c>
      <c r="D1382" s="25" t="str">
        <f ca="1">IFERROR(__xludf.DUMMYFUNCTION("""COMPUTED_VALUE"""),"LA LIBERTAD")</f>
        <v>LA LIBERTAD</v>
      </c>
      <c r="E1382" s="25" t="str">
        <f ca="1">IFERROR(__xludf.DUMMYFUNCTION("""COMPUTED_VALUE"""),"LA LIBERTAD")</f>
        <v>LA LIBERTAD</v>
      </c>
      <c r="F1382" s="25"/>
      <c r="G1382" s="25"/>
      <c r="H1382" s="25"/>
      <c r="I1382" s="25" t="str">
        <f ca="1">IFERROR(__xludf.DUMMYFUNCTION("""COMPUTED_VALUE"""),"No aplica")</f>
        <v>No aplica</v>
      </c>
      <c r="J1382" s="45"/>
    </row>
    <row r="1383" spans="2:10" ht="15.75" customHeight="1">
      <c r="B1383" s="25" t="str">
        <f ca="1">IFERROR(__xludf.DUMMYFUNCTION("""COMPUTED_VALUE"""),"OTROS")</f>
        <v>OTROS</v>
      </c>
      <c r="C1383" s="25" t="str">
        <f ca="1">IFERROR(__xludf.DUMMYFUNCTION("""COMPUTED_VALUE"""),"ESCUELA SUPERIOR DE ARTE DRAMATICO ""VIRGILIO RODRÍGUEZ NACHE""")</f>
        <v>ESCUELA SUPERIOR DE ARTE DRAMATICO "VIRGILIO RODRÍGUEZ NACHE"</v>
      </c>
      <c r="D1383" s="25" t="str">
        <f ca="1">IFERROR(__xludf.DUMMYFUNCTION("""COMPUTED_VALUE"""),"LA LIBERTAD")</f>
        <v>LA LIBERTAD</v>
      </c>
      <c r="E1383" s="25" t="str">
        <f ca="1">IFERROR(__xludf.DUMMYFUNCTION("""COMPUTED_VALUE"""),"LA LIBERTAD")</f>
        <v>LA LIBERTAD</v>
      </c>
      <c r="F1383" s="25"/>
      <c r="G1383" s="25"/>
      <c r="H1383" s="25"/>
      <c r="I1383" s="25" t="str">
        <f ca="1">IFERROR(__xludf.DUMMYFUNCTION("""COMPUTED_VALUE"""),"No aplica")</f>
        <v>No aplica</v>
      </c>
      <c r="J1383" s="45"/>
    </row>
    <row r="1384" spans="2:10" ht="15.75" customHeight="1">
      <c r="B1384" s="25" t="str">
        <f ca="1">IFERROR(__xludf.DUMMYFUNCTION("""COMPUTED_VALUE"""),"OTROS")</f>
        <v>OTROS</v>
      </c>
      <c r="C1384" s="25" t="str">
        <f ca="1">IFERROR(__xludf.DUMMYFUNCTION("""COMPUTED_VALUE"""),"ESCUELA SUPERIOR DE FORMACIÓN ARTÍSTICA PÚBLICA ""MACEDONIO DE LA TORRE""")</f>
        <v>ESCUELA SUPERIOR DE FORMACIÓN ARTÍSTICA PÚBLICA "MACEDONIO DE LA TORRE"</v>
      </c>
      <c r="D1384" s="25" t="str">
        <f ca="1">IFERROR(__xludf.DUMMYFUNCTION("""COMPUTED_VALUE"""),"LA LIBERTAD")</f>
        <v>LA LIBERTAD</v>
      </c>
      <c r="E1384" s="25" t="str">
        <f ca="1">IFERROR(__xludf.DUMMYFUNCTION("""COMPUTED_VALUE"""),"LA LIBERTAD")</f>
        <v>LA LIBERTAD</v>
      </c>
      <c r="F1384" s="25"/>
      <c r="G1384" s="25"/>
      <c r="H1384" s="25"/>
      <c r="I1384" s="25" t="str">
        <f ca="1">IFERROR(__xludf.DUMMYFUNCTION("""COMPUTED_VALUE"""),"No aplica")</f>
        <v>No aplica</v>
      </c>
      <c r="J1384" s="45"/>
    </row>
    <row r="1385" spans="2:10" ht="15.75" customHeight="1">
      <c r="B1385" s="25" t="str">
        <f ca="1">IFERROR(__xludf.DUMMYFUNCTION("""COMPUTED_VALUE"""),"MUNICIPALIDAD DISTRITAL")</f>
        <v>MUNICIPALIDAD DISTRITAL</v>
      </c>
      <c r="C1385" s="25" t="str">
        <f ca="1">IFERROR(__xludf.DUMMYFUNCTION("""COMPUTED_VALUE"""),"MUNICIPALIDAD DISTRITAL DE SAN BARTOLOME")</f>
        <v>MUNICIPALIDAD DISTRITAL DE SAN BARTOLOME</v>
      </c>
      <c r="D1385" s="25" t="str">
        <f ca="1">IFERROR(__xludf.DUMMYFUNCTION("""COMPUTED_VALUE"""),"SEDE CENTRAL")</f>
        <v>SEDE CENTRAL</v>
      </c>
      <c r="E1385" s="25" t="str">
        <f ca="1">IFERROR(__xludf.DUMMYFUNCTION("""COMPUTED_VALUE"""),"LIMA")</f>
        <v>LIMA</v>
      </c>
      <c r="F1385" s="25" t="str">
        <f ca="1">IFERROR(__xludf.DUMMYFUNCTION("""COMPUTED_VALUE"""),"HUAROCHIRI")</f>
        <v>HUAROCHIRI</v>
      </c>
      <c r="G1385" s="25" t="str">
        <f ca="1">IFERROR(__xludf.DUMMYFUNCTION("""COMPUTED_VALUE"""),"SAN BARTOLOME")</f>
        <v>SAN BARTOLOME</v>
      </c>
      <c r="H1385" s="25" t="str">
        <f ca="1">IFERROR(__xludf.DUMMYFUNCTION("""COMPUTED_VALUE"""),"RURAL")</f>
        <v>RURAL</v>
      </c>
      <c r="I1385" s="25" t="str">
        <f ca="1">IFERROR(__xludf.DUMMYFUNCTION("""COMPUTED_VALUE"""),"Prioridad 3")</f>
        <v>Prioridad 3</v>
      </c>
      <c r="J1385" s="45"/>
    </row>
    <row r="1386" spans="2:10" ht="15.75" customHeight="1">
      <c r="B1386" s="25" t="str">
        <f ca="1">IFERROR(__xludf.DUMMYFUNCTION("""COMPUTED_VALUE"""),"MUNICIPALIDAD DISTRITAL")</f>
        <v>MUNICIPALIDAD DISTRITAL</v>
      </c>
      <c r="C1386" s="25" t="str">
        <f ca="1">IFERROR(__xludf.DUMMYFUNCTION("""COMPUTED_VALUE"""),"MUNICIPALIDAD DISTRITAL DE SAN DAMIAN")</f>
        <v>MUNICIPALIDAD DISTRITAL DE SAN DAMIAN</v>
      </c>
      <c r="D1386" s="25" t="str">
        <f ca="1">IFERROR(__xludf.DUMMYFUNCTION("""COMPUTED_VALUE"""),"SEDE CENTRAL")</f>
        <v>SEDE CENTRAL</v>
      </c>
      <c r="E1386" s="25" t="str">
        <f ca="1">IFERROR(__xludf.DUMMYFUNCTION("""COMPUTED_VALUE"""),"LIMA")</f>
        <v>LIMA</v>
      </c>
      <c r="F1386" s="25" t="str">
        <f ca="1">IFERROR(__xludf.DUMMYFUNCTION("""COMPUTED_VALUE"""),"HUAROCHIRI")</f>
        <v>HUAROCHIRI</v>
      </c>
      <c r="G1386" s="25" t="str">
        <f ca="1">IFERROR(__xludf.DUMMYFUNCTION("""COMPUTED_VALUE"""),"SAN DAMIAN")</f>
        <v>SAN DAMIAN</v>
      </c>
      <c r="H1386" s="25" t="str">
        <f ca="1">IFERROR(__xludf.DUMMYFUNCTION("""COMPUTED_VALUE"""),"RURAL")</f>
        <v>RURAL</v>
      </c>
      <c r="I1386" s="25" t="str">
        <f ca="1">IFERROR(__xludf.DUMMYFUNCTION("""COMPUTED_VALUE"""),"Prioridad 2")</f>
        <v>Prioridad 2</v>
      </c>
      <c r="J1386" s="45"/>
    </row>
    <row r="1387" spans="2:10" ht="15.75" customHeight="1">
      <c r="B1387" s="25" t="str">
        <f ca="1">IFERROR(__xludf.DUMMYFUNCTION("""COMPUTED_VALUE"""),"MUNICIPALIDAD DISTRITAL")</f>
        <v>MUNICIPALIDAD DISTRITAL</v>
      </c>
      <c r="C1387" s="25" t="str">
        <f ca="1">IFERROR(__xludf.DUMMYFUNCTION("""COMPUTED_VALUE"""),"MUNICIPALIDAD DISTRITAL DE SAN JUAN DE IRIS")</f>
        <v>MUNICIPALIDAD DISTRITAL DE SAN JUAN DE IRIS</v>
      </c>
      <c r="D1387" s="25" t="str">
        <f ca="1">IFERROR(__xludf.DUMMYFUNCTION("""COMPUTED_VALUE"""),"SEDE CENTRAL")</f>
        <v>SEDE CENTRAL</v>
      </c>
      <c r="E1387" s="25" t="str">
        <f ca="1">IFERROR(__xludf.DUMMYFUNCTION("""COMPUTED_VALUE"""),"LIMA")</f>
        <v>LIMA</v>
      </c>
      <c r="F1387" s="25" t="str">
        <f ca="1">IFERROR(__xludf.DUMMYFUNCTION("""COMPUTED_VALUE"""),"HUAROCHIRI")</f>
        <v>HUAROCHIRI</v>
      </c>
      <c r="G1387" s="25" t="str">
        <f ca="1">IFERROR(__xludf.DUMMYFUNCTION("""COMPUTED_VALUE"""),"SAN JUAN DE IRIS")</f>
        <v>SAN JUAN DE IRIS</v>
      </c>
      <c r="H1387" s="25" t="str">
        <f ca="1">IFERROR(__xludf.DUMMYFUNCTION("""COMPUTED_VALUE"""),"RURAL")</f>
        <v>RURAL</v>
      </c>
      <c r="I1387" s="25" t="str">
        <f ca="1">IFERROR(__xludf.DUMMYFUNCTION("""COMPUTED_VALUE"""),"Prioridad 5")</f>
        <v>Prioridad 5</v>
      </c>
      <c r="J1387" s="45"/>
    </row>
    <row r="1388" spans="2:10" ht="15.75" customHeight="1">
      <c r="B1388" s="25" t="str">
        <f ca="1">IFERROR(__xludf.DUMMYFUNCTION("""COMPUTED_VALUE"""),"COLEGIO PROFESIONAL")</f>
        <v>COLEGIO PROFESIONAL</v>
      </c>
      <c r="C1388" s="25" t="str">
        <f ca="1">IFERROR(__xludf.DUMMYFUNCTION("""COMPUTED_VALUE"""),"COLEGIO DE ABOGADOS DE ANCASH")</f>
        <v>COLEGIO DE ABOGADOS DE ANCASH</v>
      </c>
      <c r="D1388" s="25" t="str">
        <f ca="1">IFERROR(__xludf.DUMMYFUNCTION("""COMPUTED_VALUE"""),"LA LIBERTAD")</f>
        <v>LA LIBERTAD</v>
      </c>
      <c r="E1388" s="25" t="str">
        <f ca="1">IFERROR(__xludf.DUMMYFUNCTION("""COMPUTED_VALUE"""),"ANCASH")</f>
        <v>ANCASH</v>
      </c>
      <c r="F1388" s="25" t="str">
        <f ca="1">IFERROR(__xludf.DUMMYFUNCTION("""COMPUTED_VALUE"""),"HUARAZ")</f>
        <v>HUARAZ</v>
      </c>
      <c r="G1388" s="25" t="str">
        <f ca="1">IFERROR(__xludf.DUMMYFUNCTION("""COMPUTED_VALUE"""),"HUARAZ")</f>
        <v>HUARAZ</v>
      </c>
      <c r="H1388" s="25"/>
      <c r="I1388" s="25" t="str">
        <f ca="1">IFERROR(__xludf.DUMMYFUNCTION("""COMPUTED_VALUE"""),"Prioridad 1")</f>
        <v>Prioridad 1</v>
      </c>
      <c r="J1388" s="45"/>
    </row>
    <row r="1389" spans="2:10" ht="15.75" customHeight="1">
      <c r="B1389" s="25" t="str">
        <f ca="1">IFERROR(__xludf.DUMMYFUNCTION("""COMPUTED_VALUE"""),"MUNICIPALIDAD DISTRITAL")</f>
        <v>MUNICIPALIDAD DISTRITAL</v>
      </c>
      <c r="C1389" s="25" t="str">
        <f ca="1">IFERROR(__xludf.DUMMYFUNCTION("""COMPUTED_VALUE"""),"MUNICIPALIDAD DISTRITAL DE SAN JUAN DE TANTARANCHE")</f>
        <v>MUNICIPALIDAD DISTRITAL DE SAN JUAN DE TANTARANCHE</v>
      </c>
      <c r="D1389" s="25" t="str">
        <f ca="1">IFERROR(__xludf.DUMMYFUNCTION("""COMPUTED_VALUE"""),"SEDE CENTRAL")</f>
        <v>SEDE CENTRAL</v>
      </c>
      <c r="E1389" s="25" t="str">
        <f ca="1">IFERROR(__xludf.DUMMYFUNCTION("""COMPUTED_VALUE"""),"LIMA")</f>
        <v>LIMA</v>
      </c>
      <c r="F1389" s="25" t="str">
        <f ca="1">IFERROR(__xludf.DUMMYFUNCTION("""COMPUTED_VALUE"""),"HUAROCHIRI")</f>
        <v>HUAROCHIRI</v>
      </c>
      <c r="G1389" s="25" t="str">
        <f ca="1">IFERROR(__xludf.DUMMYFUNCTION("""COMPUTED_VALUE"""),"SAN JUAN DE TANTARANCHE")</f>
        <v>SAN JUAN DE TANTARANCHE</v>
      </c>
      <c r="H1389" s="25" t="str">
        <f ca="1">IFERROR(__xludf.DUMMYFUNCTION("""COMPUTED_VALUE"""),"RURAL")</f>
        <v>RURAL</v>
      </c>
      <c r="I1389" s="25" t="str">
        <f ca="1">IFERROR(__xludf.DUMMYFUNCTION("""COMPUTED_VALUE"""),"Prioridad 2")</f>
        <v>Prioridad 2</v>
      </c>
      <c r="J1389" s="45"/>
    </row>
    <row r="1390" spans="2:10" ht="15.75" customHeight="1">
      <c r="B1390" s="25" t="str">
        <f ca="1">IFERROR(__xludf.DUMMYFUNCTION("""COMPUTED_VALUE"""),"MUNICIPALIDAD DISTRITAL")</f>
        <v>MUNICIPALIDAD DISTRITAL</v>
      </c>
      <c r="C1390" s="25" t="str">
        <f ca="1">IFERROR(__xludf.DUMMYFUNCTION("""COMPUTED_VALUE"""),"MUNICIPALIDAD DISTRITAL DE SAN LORENZO DE QUINTI")</f>
        <v>MUNICIPALIDAD DISTRITAL DE SAN LORENZO DE QUINTI</v>
      </c>
      <c r="D1390" s="25" t="str">
        <f ca="1">IFERROR(__xludf.DUMMYFUNCTION("""COMPUTED_VALUE"""),"SEDE CENTRAL")</f>
        <v>SEDE CENTRAL</v>
      </c>
      <c r="E1390" s="25" t="str">
        <f ca="1">IFERROR(__xludf.DUMMYFUNCTION("""COMPUTED_VALUE"""),"LIMA")</f>
        <v>LIMA</v>
      </c>
      <c r="F1390" s="25" t="str">
        <f ca="1">IFERROR(__xludf.DUMMYFUNCTION("""COMPUTED_VALUE"""),"HUAROCHIRI")</f>
        <v>HUAROCHIRI</v>
      </c>
      <c r="G1390" s="25" t="str">
        <f ca="1">IFERROR(__xludf.DUMMYFUNCTION("""COMPUTED_VALUE"""),"SAN LORENZO DE QUINTI")</f>
        <v>SAN LORENZO DE QUINTI</v>
      </c>
      <c r="H1390" s="25" t="str">
        <f ca="1">IFERROR(__xludf.DUMMYFUNCTION("""COMPUTED_VALUE"""),"RURAL")</f>
        <v>RURAL</v>
      </c>
      <c r="I1390" s="25" t="str">
        <f ca="1">IFERROR(__xludf.DUMMYFUNCTION("""COMPUTED_VALUE"""),"Prioridad 4")</f>
        <v>Prioridad 4</v>
      </c>
      <c r="J1390" s="45"/>
    </row>
    <row r="1391" spans="2:10" ht="15.75" customHeight="1">
      <c r="B1391" s="25" t="str">
        <f ca="1">IFERROR(__xludf.DUMMYFUNCTION("""COMPUTED_VALUE"""),"MUNICIPALIDAD DISTRITAL")</f>
        <v>MUNICIPALIDAD DISTRITAL</v>
      </c>
      <c r="C1391" s="25" t="str">
        <f ca="1">IFERROR(__xludf.DUMMYFUNCTION("""COMPUTED_VALUE"""),"MUNICIPALIDAD DISTRITAL DE SAN MATEO DE OTAO")</f>
        <v>MUNICIPALIDAD DISTRITAL DE SAN MATEO DE OTAO</v>
      </c>
      <c r="D1391" s="25" t="str">
        <f ca="1">IFERROR(__xludf.DUMMYFUNCTION("""COMPUTED_VALUE"""),"SEDE CENTRAL")</f>
        <v>SEDE CENTRAL</v>
      </c>
      <c r="E1391" s="25" t="str">
        <f ca="1">IFERROR(__xludf.DUMMYFUNCTION("""COMPUTED_VALUE"""),"LIMA")</f>
        <v>LIMA</v>
      </c>
      <c r="F1391" s="25" t="str">
        <f ca="1">IFERROR(__xludf.DUMMYFUNCTION("""COMPUTED_VALUE"""),"HUAROCHIRI")</f>
        <v>HUAROCHIRI</v>
      </c>
      <c r="G1391" s="25" t="str">
        <f ca="1">IFERROR(__xludf.DUMMYFUNCTION("""COMPUTED_VALUE"""),"SAN MATEO DE OTAO")</f>
        <v>SAN MATEO DE OTAO</v>
      </c>
      <c r="H1391" s="25" t="str">
        <f ca="1">IFERROR(__xludf.DUMMYFUNCTION("""COMPUTED_VALUE"""),"RURAL")</f>
        <v>RURAL</v>
      </c>
      <c r="I1391" s="25" t="str">
        <f ca="1">IFERROR(__xludf.DUMMYFUNCTION("""COMPUTED_VALUE"""),"Prioridad 5")</f>
        <v>Prioridad 5</v>
      </c>
      <c r="J1391" s="45"/>
    </row>
    <row r="1392" spans="2:10" ht="15.75" customHeight="1">
      <c r="B1392" s="25" t="str">
        <f ca="1">IFERROR(__xludf.DUMMYFUNCTION("""COMPUTED_VALUE"""),"MUNICIPALIDAD DISTRITAL")</f>
        <v>MUNICIPALIDAD DISTRITAL</v>
      </c>
      <c r="C1392" s="25" t="str">
        <f ca="1">IFERROR(__xludf.DUMMYFUNCTION("""COMPUTED_VALUE"""),"MUNICIPALIDAD DISTRITAL DE SAN MATEO")</f>
        <v>MUNICIPALIDAD DISTRITAL DE SAN MATEO</v>
      </c>
      <c r="D1392" s="25" t="str">
        <f ca="1">IFERROR(__xludf.DUMMYFUNCTION("""COMPUTED_VALUE"""),"SEDE CENTRAL")</f>
        <v>SEDE CENTRAL</v>
      </c>
      <c r="E1392" s="25" t="str">
        <f ca="1">IFERROR(__xludf.DUMMYFUNCTION("""COMPUTED_VALUE"""),"LIMA")</f>
        <v>LIMA</v>
      </c>
      <c r="F1392" s="25" t="str">
        <f ca="1">IFERROR(__xludf.DUMMYFUNCTION("""COMPUTED_VALUE"""),"HUAROCHIRI")</f>
        <v>HUAROCHIRI</v>
      </c>
      <c r="G1392" s="25" t="str">
        <f ca="1">IFERROR(__xludf.DUMMYFUNCTION("""COMPUTED_VALUE"""),"SAN MATEO")</f>
        <v>SAN MATEO</v>
      </c>
      <c r="H1392" s="25" t="str">
        <f ca="1">IFERROR(__xludf.DUMMYFUNCTION("""COMPUTED_VALUE"""),"URBANO")</f>
        <v>URBANO</v>
      </c>
      <c r="I1392" s="25" t="str">
        <f ca="1">IFERROR(__xludf.DUMMYFUNCTION("""COMPUTED_VALUE"""),"Prioridad 4")</f>
        <v>Prioridad 4</v>
      </c>
      <c r="J1392" s="45"/>
    </row>
    <row r="1393" spans="2:10" ht="15.75" customHeight="1">
      <c r="B1393" s="25" t="str">
        <f ca="1">IFERROR(__xludf.DUMMYFUNCTION("""COMPUTED_VALUE"""),"MUNICIPALIDAD DISTRITAL")</f>
        <v>MUNICIPALIDAD DISTRITAL</v>
      </c>
      <c r="C1393" s="25" t="str">
        <f ca="1">IFERROR(__xludf.DUMMYFUNCTION("""COMPUTED_VALUE"""),"MUNICIPALIDAD DISTRITAL DE SAN PEDRO DE CASTA")</f>
        <v>MUNICIPALIDAD DISTRITAL DE SAN PEDRO DE CASTA</v>
      </c>
      <c r="D1393" s="25" t="str">
        <f ca="1">IFERROR(__xludf.DUMMYFUNCTION("""COMPUTED_VALUE"""),"SEDE CENTRAL")</f>
        <v>SEDE CENTRAL</v>
      </c>
      <c r="E1393" s="25" t="str">
        <f ca="1">IFERROR(__xludf.DUMMYFUNCTION("""COMPUTED_VALUE"""),"LIMA")</f>
        <v>LIMA</v>
      </c>
      <c r="F1393" s="25" t="str">
        <f ca="1">IFERROR(__xludf.DUMMYFUNCTION("""COMPUTED_VALUE"""),"HUAROCHIRI")</f>
        <v>HUAROCHIRI</v>
      </c>
      <c r="G1393" s="25" t="str">
        <f ca="1">IFERROR(__xludf.DUMMYFUNCTION("""COMPUTED_VALUE"""),"SAN PEDRO DE CASTA")</f>
        <v>SAN PEDRO DE CASTA</v>
      </c>
      <c r="H1393" s="25" t="str">
        <f ca="1">IFERROR(__xludf.DUMMYFUNCTION("""COMPUTED_VALUE"""),"RURAL")</f>
        <v>RURAL</v>
      </c>
      <c r="I1393" s="25" t="str">
        <f ca="1">IFERROR(__xludf.DUMMYFUNCTION("""COMPUTED_VALUE"""),"Prioridad 4")</f>
        <v>Prioridad 4</v>
      </c>
      <c r="J1393" s="45"/>
    </row>
    <row r="1394" spans="2:10" ht="15.75" customHeight="1">
      <c r="B1394" s="25" t="str">
        <f ca="1">IFERROR(__xludf.DUMMYFUNCTION("""COMPUTED_VALUE"""),"MUNICIPALIDAD DISTRITAL")</f>
        <v>MUNICIPALIDAD DISTRITAL</v>
      </c>
      <c r="C1394" s="25" t="str">
        <f ca="1">IFERROR(__xludf.DUMMYFUNCTION("""COMPUTED_VALUE"""),"MUNICIPALIDAD DISTRITAL DE SAN PEDRO DE HUANCAYRE")</f>
        <v>MUNICIPALIDAD DISTRITAL DE SAN PEDRO DE HUANCAYRE</v>
      </c>
      <c r="D1394" s="25" t="str">
        <f ca="1">IFERROR(__xludf.DUMMYFUNCTION("""COMPUTED_VALUE"""),"SEDE CENTRAL")</f>
        <v>SEDE CENTRAL</v>
      </c>
      <c r="E1394" s="25" t="str">
        <f ca="1">IFERROR(__xludf.DUMMYFUNCTION("""COMPUTED_VALUE"""),"LIMA")</f>
        <v>LIMA</v>
      </c>
      <c r="F1394" s="25" t="str">
        <f ca="1">IFERROR(__xludf.DUMMYFUNCTION("""COMPUTED_VALUE"""),"HUAROCHIRI")</f>
        <v>HUAROCHIRI</v>
      </c>
      <c r="G1394" s="25" t="str">
        <f ca="1">IFERROR(__xludf.DUMMYFUNCTION("""COMPUTED_VALUE"""),"SAN PEDRO DE HUANCAYRE")</f>
        <v>SAN PEDRO DE HUANCAYRE</v>
      </c>
      <c r="H1394" s="25" t="str">
        <f ca="1">IFERROR(__xludf.DUMMYFUNCTION("""COMPUTED_VALUE"""),"RURAL")</f>
        <v>RURAL</v>
      </c>
      <c r="I1394" s="25" t="str">
        <f ca="1">IFERROR(__xludf.DUMMYFUNCTION("""COMPUTED_VALUE"""),"Prioridad 2")</f>
        <v>Prioridad 2</v>
      </c>
      <c r="J1394" s="45"/>
    </row>
    <row r="1395" spans="2:10" ht="15.75" customHeight="1">
      <c r="B1395" s="25" t="str">
        <f ca="1">IFERROR(__xludf.DUMMYFUNCTION("""COMPUTED_VALUE"""),"MUNICIPALIDAD DISTRITAL")</f>
        <v>MUNICIPALIDAD DISTRITAL</v>
      </c>
      <c r="C1395" s="25" t="str">
        <f ca="1">IFERROR(__xludf.DUMMYFUNCTION("""COMPUTED_VALUE"""),"MUNICIPALIDAD DISTRITAL DE SANGALLAYA")</f>
        <v>MUNICIPALIDAD DISTRITAL DE SANGALLAYA</v>
      </c>
      <c r="D1395" s="25" t="str">
        <f ca="1">IFERROR(__xludf.DUMMYFUNCTION("""COMPUTED_VALUE"""),"SEDE CENTRAL")</f>
        <v>SEDE CENTRAL</v>
      </c>
      <c r="E1395" s="25" t="str">
        <f ca="1">IFERROR(__xludf.DUMMYFUNCTION("""COMPUTED_VALUE"""),"LIMA")</f>
        <v>LIMA</v>
      </c>
      <c r="F1395" s="25" t="str">
        <f ca="1">IFERROR(__xludf.DUMMYFUNCTION("""COMPUTED_VALUE"""),"HUAROCHIRI")</f>
        <v>HUAROCHIRI</v>
      </c>
      <c r="G1395" s="25" t="str">
        <f ca="1">IFERROR(__xludf.DUMMYFUNCTION("""COMPUTED_VALUE"""),"SANGALLAYA")</f>
        <v>SANGALLAYA</v>
      </c>
      <c r="H1395" s="25" t="str">
        <f ca="1">IFERROR(__xludf.DUMMYFUNCTION("""COMPUTED_VALUE"""),"RURAL")</f>
        <v>RURAL</v>
      </c>
      <c r="I1395" s="25" t="str">
        <f ca="1">IFERROR(__xludf.DUMMYFUNCTION("""COMPUTED_VALUE"""),"Prioridad 3")</f>
        <v>Prioridad 3</v>
      </c>
      <c r="J1395" s="45"/>
    </row>
    <row r="1396" spans="2:10" ht="15.75" customHeight="1">
      <c r="B1396" s="25" t="str">
        <f ca="1">IFERROR(__xludf.DUMMYFUNCTION("""COMPUTED_VALUE"""),"MUNICIPALIDAD DISTRITAL")</f>
        <v>MUNICIPALIDAD DISTRITAL</v>
      </c>
      <c r="C1396" s="25" t="str">
        <f ca="1">IFERROR(__xludf.DUMMYFUNCTION("""COMPUTED_VALUE"""),"MUNICIPALIDAD DISTRITAL DE SANTA CRUZ DE COCACHACRA")</f>
        <v>MUNICIPALIDAD DISTRITAL DE SANTA CRUZ DE COCACHACRA</v>
      </c>
      <c r="D1396" s="25" t="str">
        <f ca="1">IFERROR(__xludf.DUMMYFUNCTION("""COMPUTED_VALUE"""),"SEDE CENTRAL")</f>
        <v>SEDE CENTRAL</v>
      </c>
      <c r="E1396" s="25" t="str">
        <f ca="1">IFERROR(__xludf.DUMMYFUNCTION("""COMPUTED_VALUE"""),"LIMA")</f>
        <v>LIMA</v>
      </c>
      <c r="F1396" s="25" t="str">
        <f ca="1">IFERROR(__xludf.DUMMYFUNCTION("""COMPUTED_VALUE"""),"HUAROCHIRI")</f>
        <v>HUAROCHIRI</v>
      </c>
      <c r="G1396" s="25" t="str">
        <f ca="1">IFERROR(__xludf.DUMMYFUNCTION("""COMPUTED_VALUE"""),"SANTA CRUZ DE COCACHACRA")</f>
        <v>SANTA CRUZ DE COCACHACRA</v>
      </c>
      <c r="H1396" s="25" t="str">
        <f ca="1">IFERROR(__xludf.DUMMYFUNCTION("""COMPUTED_VALUE"""),"RURAL")</f>
        <v>RURAL</v>
      </c>
      <c r="I1396" s="25" t="str">
        <f ca="1">IFERROR(__xludf.DUMMYFUNCTION("""COMPUTED_VALUE"""),"Prioridad 2")</f>
        <v>Prioridad 2</v>
      </c>
      <c r="J1396" s="45"/>
    </row>
    <row r="1397" spans="2:10" ht="15.75" customHeight="1">
      <c r="B1397" s="25" t="str">
        <f ca="1">IFERROR(__xludf.DUMMYFUNCTION("""COMPUTED_VALUE"""),"MUNICIPALIDAD DISTRITAL")</f>
        <v>MUNICIPALIDAD DISTRITAL</v>
      </c>
      <c r="C1397" s="25" t="str">
        <f ca="1">IFERROR(__xludf.DUMMYFUNCTION("""COMPUTED_VALUE"""),"MUNICIPALIDAD DISTRITAL DE SANTA EULALIA")</f>
        <v>MUNICIPALIDAD DISTRITAL DE SANTA EULALIA</v>
      </c>
      <c r="D1397" s="25" t="str">
        <f ca="1">IFERROR(__xludf.DUMMYFUNCTION("""COMPUTED_VALUE"""),"SEDE CENTRAL")</f>
        <v>SEDE CENTRAL</v>
      </c>
      <c r="E1397" s="25" t="str">
        <f ca="1">IFERROR(__xludf.DUMMYFUNCTION("""COMPUTED_VALUE"""),"LIMA")</f>
        <v>LIMA</v>
      </c>
      <c r="F1397" s="25" t="str">
        <f ca="1">IFERROR(__xludf.DUMMYFUNCTION("""COMPUTED_VALUE"""),"HUAROCHIRI")</f>
        <v>HUAROCHIRI</v>
      </c>
      <c r="G1397" s="25" t="str">
        <f ca="1">IFERROR(__xludf.DUMMYFUNCTION("""COMPUTED_VALUE"""),"SANTA EULALIA")</f>
        <v>SANTA EULALIA</v>
      </c>
      <c r="H1397" s="25" t="str">
        <f ca="1">IFERROR(__xludf.DUMMYFUNCTION("""COMPUTED_VALUE"""),"URBANO")</f>
        <v>URBANO</v>
      </c>
      <c r="I1397" s="25" t="str">
        <f ca="1">IFERROR(__xludf.DUMMYFUNCTION("""COMPUTED_VALUE"""),"Prioridad 2")</f>
        <v>Prioridad 2</v>
      </c>
      <c r="J1397" s="45"/>
    </row>
    <row r="1398" spans="2:10" ht="15.75" customHeight="1">
      <c r="B1398" s="25" t="str">
        <f ca="1">IFERROR(__xludf.DUMMYFUNCTION("""COMPUTED_VALUE"""),"MUNICIPALIDAD DISTRITAL")</f>
        <v>MUNICIPALIDAD DISTRITAL</v>
      </c>
      <c r="C1398" s="25" t="str">
        <f ca="1">IFERROR(__xludf.DUMMYFUNCTION("""COMPUTED_VALUE"""),"MUNICIPALIDAD DISTRITAL DE SANTIAGO DE ANCHUCAYA")</f>
        <v>MUNICIPALIDAD DISTRITAL DE SANTIAGO DE ANCHUCAYA</v>
      </c>
      <c r="D1398" s="25" t="str">
        <f ca="1">IFERROR(__xludf.DUMMYFUNCTION("""COMPUTED_VALUE"""),"SEDE CENTRAL")</f>
        <v>SEDE CENTRAL</v>
      </c>
      <c r="E1398" s="25" t="str">
        <f ca="1">IFERROR(__xludf.DUMMYFUNCTION("""COMPUTED_VALUE"""),"LIMA")</f>
        <v>LIMA</v>
      </c>
      <c r="F1398" s="25" t="str">
        <f ca="1">IFERROR(__xludf.DUMMYFUNCTION("""COMPUTED_VALUE"""),"HUAROCHIRI")</f>
        <v>HUAROCHIRI</v>
      </c>
      <c r="G1398" s="25" t="str">
        <f ca="1">IFERROR(__xludf.DUMMYFUNCTION("""COMPUTED_VALUE"""),"SANTIAGO DE ANCHUCAYA")</f>
        <v>SANTIAGO DE ANCHUCAYA</v>
      </c>
      <c r="H1398" s="25" t="str">
        <f ca="1">IFERROR(__xludf.DUMMYFUNCTION("""COMPUTED_VALUE"""),"RURAL")</f>
        <v>RURAL</v>
      </c>
      <c r="I1398" s="25" t="str">
        <f ca="1">IFERROR(__xludf.DUMMYFUNCTION("""COMPUTED_VALUE"""),"Prioridad 5")</f>
        <v>Prioridad 5</v>
      </c>
      <c r="J1398" s="45"/>
    </row>
    <row r="1399" spans="2:10" ht="15.75" customHeight="1">
      <c r="B1399" s="25" t="str">
        <f ca="1">IFERROR(__xludf.DUMMYFUNCTION("""COMPUTED_VALUE"""),"MUNICIPALIDAD DISTRITAL")</f>
        <v>MUNICIPALIDAD DISTRITAL</v>
      </c>
      <c r="C1399" s="25" t="str">
        <f ca="1">IFERROR(__xludf.DUMMYFUNCTION("""COMPUTED_VALUE"""),"MUNICIPALIDAD DISTRITAL DE SANTIAGO DE TUNA")</f>
        <v>MUNICIPALIDAD DISTRITAL DE SANTIAGO DE TUNA</v>
      </c>
      <c r="D1399" s="25" t="str">
        <f ca="1">IFERROR(__xludf.DUMMYFUNCTION("""COMPUTED_VALUE"""),"SEDE CENTRAL")</f>
        <v>SEDE CENTRAL</v>
      </c>
      <c r="E1399" s="25" t="str">
        <f ca="1">IFERROR(__xludf.DUMMYFUNCTION("""COMPUTED_VALUE"""),"LIMA")</f>
        <v>LIMA</v>
      </c>
      <c r="F1399" s="25" t="str">
        <f ca="1">IFERROR(__xludf.DUMMYFUNCTION("""COMPUTED_VALUE"""),"HUAROCHIRI")</f>
        <v>HUAROCHIRI</v>
      </c>
      <c r="G1399" s="25" t="str">
        <f ca="1">IFERROR(__xludf.DUMMYFUNCTION("""COMPUTED_VALUE"""),"SANTIAGO DE TUNA")</f>
        <v>SANTIAGO DE TUNA</v>
      </c>
      <c r="H1399" s="25" t="str">
        <f ca="1">IFERROR(__xludf.DUMMYFUNCTION("""COMPUTED_VALUE"""),"RURAL")</f>
        <v>RURAL</v>
      </c>
      <c r="I1399" s="25" t="str">
        <f ca="1">IFERROR(__xludf.DUMMYFUNCTION("""COMPUTED_VALUE"""),"Prioridad 4")</f>
        <v>Prioridad 4</v>
      </c>
      <c r="J1399" s="45"/>
    </row>
    <row r="1400" spans="2:10" ht="15.75" customHeight="1">
      <c r="B1400" s="25" t="str">
        <f ca="1">IFERROR(__xludf.DUMMYFUNCTION("""COMPUTED_VALUE"""),"MUNICIPALIDAD DISTRITAL")</f>
        <v>MUNICIPALIDAD DISTRITAL</v>
      </c>
      <c r="C1400" s="25" t="str">
        <f ca="1">IFERROR(__xludf.DUMMYFUNCTION("""COMPUTED_VALUE"""),"MUNICIPALIDAD DISTRITAL DE SANTO DOMINGO DE LOS OLLEROS")</f>
        <v>MUNICIPALIDAD DISTRITAL DE SANTO DOMINGO DE LOS OLLEROS</v>
      </c>
      <c r="D1400" s="25" t="str">
        <f ca="1">IFERROR(__xludf.DUMMYFUNCTION("""COMPUTED_VALUE"""),"SEDE CENTRAL")</f>
        <v>SEDE CENTRAL</v>
      </c>
      <c r="E1400" s="25" t="str">
        <f ca="1">IFERROR(__xludf.DUMMYFUNCTION("""COMPUTED_VALUE"""),"LIMA")</f>
        <v>LIMA</v>
      </c>
      <c r="F1400" s="25" t="str">
        <f ca="1">IFERROR(__xludf.DUMMYFUNCTION("""COMPUTED_VALUE"""),"HUAROCHIRI")</f>
        <v>HUAROCHIRI</v>
      </c>
      <c r="G1400" s="25" t="str">
        <f ca="1">IFERROR(__xludf.DUMMYFUNCTION("""COMPUTED_VALUE"""),"SANTO DOMINGO DE LOS OLLEROS")</f>
        <v>SANTO DOMINGO DE LOS OLLEROS</v>
      </c>
      <c r="H1400" s="25" t="str">
        <f ca="1">IFERROR(__xludf.DUMMYFUNCTION("""COMPUTED_VALUE"""),"RURAL")</f>
        <v>RURAL</v>
      </c>
      <c r="I1400" s="25" t="str">
        <f ca="1">IFERROR(__xludf.DUMMYFUNCTION("""COMPUTED_VALUE"""),"Prioridad 3")</f>
        <v>Prioridad 3</v>
      </c>
      <c r="J1400" s="45"/>
    </row>
    <row r="1401" spans="2:10" ht="15.75" customHeight="1">
      <c r="B1401" s="25" t="str">
        <f ca="1">IFERROR(__xludf.DUMMYFUNCTION("""COMPUTED_VALUE"""),"MUNICIPALIDAD DISTRITAL")</f>
        <v>MUNICIPALIDAD DISTRITAL</v>
      </c>
      <c r="C1401" s="25" t="str">
        <f ca="1">IFERROR(__xludf.DUMMYFUNCTION("""COMPUTED_VALUE"""),"MUNICIPALIDAD DISTRITAL DE SURCO")</f>
        <v>MUNICIPALIDAD DISTRITAL DE SURCO</v>
      </c>
      <c r="D1401" s="25" t="str">
        <f ca="1">IFERROR(__xludf.DUMMYFUNCTION("""COMPUTED_VALUE"""),"SEDE CENTRAL")</f>
        <v>SEDE CENTRAL</v>
      </c>
      <c r="E1401" s="25" t="str">
        <f ca="1">IFERROR(__xludf.DUMMYFUNCTION("""COMPUTED_VALUE"""),"LIMA")</f>
        <v>LIMA</v>
      </c>
      <c r="F1401" s="25" t="str">
        <f ca="1">IFERROR(__xludf.DUMMYFUNCTION("""COMPUTED_VALUE"""),"HUAROCHIRI")</f>
        <v>HUAROCHIRI</v>
      </c>
      <c r="G1401" s="25" t="str">
        <f ca="1">IFERROR(__xludf.DUMMYFUNCTION("""COMPUTED_VALUE"""),"SURCO")</f>
        <v>SURCO</v>
      </c>
      <c r="H1401" s="25" t="str">
        <f ca="1">IFERROR(__xludf.DUMMYFUNCTION("""COMPUTED_VALUE"""),"RURAL")</f>
        <v>RURAL</v>
      </c>
      <c r="I1401" s="25" t="str">
        <f ca="1">IFERROR(__xludf.DUMMYFUNCTION("""COMPUTED_VALUE"""),"Prioridad 3")</f>
        <v>Prioridad 3</v>
      </c>
      <c r="J1401" s="45"/>
    </row>
    <row r="1402" spans="2:10" ht="15.75" customHeight="1">
      <c r="B1402" s="25" t="str">
        <f ca="1">IFERROR(__xludf.DUMMYFUNCTION("""COMPUTED_VALUE"""),"MUNICIPALIDAD PROVINCIAL")</f>
        <v>MUNICIPALIDAD PROVINCIAL</v>
      </c>
      <c r="C1402" s="25" t="str">
        <f ca="1">IFERROR(__xludf.DUMMYFUNCTION("""COMPUTED_VALUE"""),"MUNICIPALIDAD PROVINCIAL DE HUAURA")</f>
        <v>MUNICIPALIDAD PROVINCIAL DE HUAURA</v>
      </c>
      <c r="D1402" s="25" t="str">
        <f ca="1">IFERROR(__xludf.DUMMYFUNCTION("""COMPUTED_VALUE"""),"SEDE CENTRAL")</f>
        <v>SEDE CENTRAL</v>
      </c>
      <c r="E1402" s="25" t="str">
        <f ca="1">IFERROR(__xludf.DUMMYFUNCTION("""COMPUTED_VALUE"""),"LIMA")</f>
        <v>LIMA</v>
      </c>
      <c r="F1402" s="25" t="str">
        <f ca="1">IFERROR(__xludf.DUMMYFUNCTION("""COMPUTED_VALUE"""),"HUAURA")</f>
        <v>HUAURA</v>
      </c>
      <c r="G1402" s="25" t="str">
        <f ca="1">IFERROR(__xludf.DUMMYFUNCTION("""COMPUTED_VALUE"""),"HUACHO")</f>
        <v>HUACHO</v>
      </c>
      <c r="H1402" s="25" t="str">
        <f ca="1">IFERROR(__xludf.DUMMYFUNCTION("""COMPUTED_VALUE"""),"URBANO")</f>
        <v>URBANO</v>
      </c>
      <c r="I1402" s="25" t="str">
        <f ca="1">IFERROR(__xludf.DUMMYFUNCTION("""COMPUTED_VALUE"""),"Prioridad 1")</f>
        <v>Prioridad 1</v>
      </c>
      <c r="J1402" s="45"/>
    </row>
    <row r="1403" spans="2:10" ht="15.75" customHeight="1">
      <c r="B1403" s="25" t="str">
        <f ca="1">IFERROR(__xludf.DUMMYFUNCTION("""COMPUTED_VALUE"""),"MUNICIPALIDAD DISTRITAL")</f>
        <v>MUNICIPALIDAD DISTRITAL</v>
      </c>
      <c r="C1403" s="25" t="str">
        <f ca="1">IFERROR(__xludf.DUMMYFUNCTION("""COMPUTED_VALUE"""),"MUNICIPALIDAD DISTRITAL DE AMBAR")</f>
        <v>MUNICIPALIDAD DISTRITAL DE AMBAR</v>
      </c>
      <c r="D1403" s="25" t="str">
        <f ca="1">IFERROR(__xludf.DUMMYFUNCTION("""COMPUTED_VALUE"""),"SEDE CENTRAL")</f>
        <v>SEDE CENTRAL</v>
      </c>
      <c r="E1403" s="25" t="str">
        <f ca="1">IFERROR(__xludf.DUMMYFUNCTION("""COMPUTED_VALUE"""),"LIMA")</f>
        <v>LIMA</v>
      </c>
      <c r="F1403" s="25" t="str">
        <f ca="1">IFERROR(__xludf.DUMMYFUNCTION("""COMPUTED_VALUE"""),"HUAURA")</f>
        <v>HUAURA</v>
      </c>
      <c r="G1403" s="25" t="str">
        <f ca="1">IFERROR(__xludf.DUMMYFUNCTION("""COMPUTED_VALUE"""),"AMBAR")</f>
        <v>AMBAR</v>
      </c>
      <c r="H1403" s="25" t="str">
        <f ca="1">IFERROR(__xludf.DUMMYFUNCTION("""COMPUTED_VALUE"""),"RURAL")</f>
        <v>RURAL</v>
      </c>
      <c r="I1403" s="25" t="str">
        <f ca="1">IFERROR(__xludf.DUMMYFUNCTION("""COMPUTED_VALUE"""),"Prioridad 5")</f>
        <v>Prioridad 5</v>
      </c>
      <c r="J1403" s="45"/>
    </row>
    <row r="1404" spans="2:10" ht="15.75" customHeight="1">
      <c r="B1404" s="25" t="str">
        <f ca="1">IFERROR(__xludf.DUMMYFUNCTION("""COMPUTED_VALUE"""),"MUNICIPALIDAD DISTRITAL")</f>
        <v>MUNICIPALIDAD DISTRITAL</v>
      </c>
      <c r="C1404" s="25" t="str">
        <f ca="1">IFERROR(__xludf.DUMMYFUNCTION("""COMPUTED_VALUE"""),"MUNICIPALIDAD DISTRITAL DE CALETA DE CARQUIN")</f>
        <v>MUNICIPALIDAD DISTRITAL DE CALETA DE CARQUIN</v>
      </c>
      <c r="D1404" s="25" t="str">
        <f ca="1">IFERROR(__xludf.DUMMYFUNCTION("""COMPUTED_VALUE"""),"SEDE CENTRAL")</f>
        <v>SEDE CENTRAL</v>
      </c>
      <c r="E1404" s="25" t="str">
        <f ca="1">IFERROR(__xludf.DUMMYFUNCTION("""COMPUTED_VALUE"""),"LIMA")</f>
        <v>LIMA</v>
      </c>
      <c r="F1404" s="25" t="str">
        <f ca="1">IFERROR(__xludf.DUMMYFUNCTION("""COMPUTED_VALUE"""),"HUAURA")</f>
        <v>HUAURA</v>
      </c>
      <c r="G1404" s="25" t="str">
        <f ca="1">IFERROR(__xludf.DUMMYFUNCTION("""COMPUTED_VALUE"""),"CALETA DE CARQUIN")</f>
        <v>CALETA DE CARQUIN</v>
      </c>
      <c r="H1404" s="25" t="str">
        <f ca="1">IFERROR(__xludf.DUMMYFUNCTION("""COMPUTED_VALUE"""),"URBANO")</f>
        <v>URBANO</v>
      </c>
      <c r="I1404" s="25" t="str">
        <f ca="1">IFERROR(__xludf.DUMMYFUNCTION("""COMPUTED_VALUE"""),"Prioridad 3")</f>
        <v>Prioridad 3</v>
      </c>
      <c r="J1404" s="45"/>
    </row>
    <row r="1405" spans="2:10" ht="15.75" customHeight="1">
      <c r="B1405" s="25" t="str">
        <f ca="1">IFERROR(__xludf.DUMMYFUNCTION("""COMPUTED_VALUE"""),"MUNICIPALIDAD DISTRITAL")</f>
        <v>MUNICIPALIDAD DISTRITAL</v>
      </c>
      <c r="C1405" s="25" t="str">
        <f ca="1">IFERROR(__xludf.DUMMYFUNCTION("""COMPUTED_VALUE"""),"MUNICIPALIDAD DISTRITAL DE CHECRAS")</f>
        <v>MUNICIPALIDAD DISTRITAL DE CHECRAS</v>
      </c>
      <c r="D1405" s="25" t="str">
        <f ca="1">IFERROR(__xludf.DUMMYFUNCTION("""COMPUTED_VALUE"""),"SEDE CENTRAL")</f>
        <v>SEDE CENTRAL</v>
      </c>
      <c r="E1405" s="25" t="str">
        <f ca="1">IFERROR(__xludf.DUMMYFUNCTION("""COMPUTED_VALUE"""),"LIMA")</f>
        <v>LIMA</v>
      </c>
      <c r="F1405" s="25" t="str">
        <f ca="1">IFERROR(__xludf.DUMMYFUNCTION("""COMPUTED_VALUE"""),"HUAURA")</f>
        <v>HUAURA</v>
      </c>
      <c r="G1405" s="25" t="str">
        <f ca="1">IFERROR(__xludf.DUMMYFUNCTION("""COMPUTED_VALUE"""),"CHECRAS")</f>
        <v>CHECRAS</v>
      </c>
      <c r="H1405" s="25" t="str">
        <f ca="1">IFERROR(__xludf.DUMMYFUNCTION("""COMPUTED_VALUE"""),"RURAL")</f>
        <v>RURAL</v>
      </c>
      <c r="I1405" s="25" t="str">
        <f ca="1">IFERROR(__xludf.DUMMYFUNCTION("""COMPUTED_VALUE"""),"Prioridad 4")</f>
        <v>Prioridad 4</v>
      </c>
      <c r="J1405" s="45"/>
    </row>
    <row r="1406" spans="2:10" ht="15.75" customHeight="1">
      <c r="B1406" s="25" t="str">
        <f ca="1">IFERROR(__xludf.DUMMYFUNCTION("""COMPUTED_VALUE"""),"MUNICIPALIDAD DISTRITAL")</f>
        <v>MUNICIPALIDAD DISTRITAL</v>
      </c>
      <c r="C1406" s="25" t="str">
        <f ca="1">IFERROR(__xludf.DUMMYFUNCTION("""COMPUTED_VALUE"""),"MUNICIPALIDAD DISTRITAL DE HUALMAY")</f>
        <v>MUNICIPALIDAD DISTRITAL DE HUALMAY</v>
      </c>
      <c r="D1406" s="25" t="str">
        <f ca="1">IFERROR(__xludf.DUMMYFUNCTION("""COMPUTED_VALUE"""),"SEDE CENTRAL")</f>
        <v>SEDE CENTRAL</v>
      </c>
      <c r="E1406" s="25" t="str">
        <f ca="1">IFERROR(__xludf.DUMMYFUNCTION("""COMPUTED_VALUE"""),"LIMA")</f>
        <v>LIMA</v>
      </c>
      <c r="F1406" s="25" t="str">
        <f ca="1">IFERROR(__xludf.DUMMYFUNCTION("""COMPUTED_VALUE"""),"HUAURA")</f>
        <v>HUAURA</v>
      </c>
      <c r="G1406" s="25" t="str">
        <f ca="1">IFERROR(__xludf.DUMMYFUNCTION("""COMPUTED_VALUE"""),"HUALMAY")</f>
        <v>HUALMAY</v>
      </c>
      <c r="H1406" s="25" t="str">
        <f ca="1">IFERROR(__xludf.DUMMYFUNCTION("""COMPUTED_VALUE"""),"URBANO")</f>
        <v>URBANO</v>
      </c>
      <c r="I1406" s="25" t="str">
        <f ca="1">IFERROR(__xludf.DUMMYFUNCTION("""COMPUTED_VALUE"""),"Prioridad 2")</f>
        <v>Prioridad 2</v>
      </c>
      <c r="J1406" s="45"/>
    </row>
    <row r="1407" spans="2:10" ht="15.75" customHeight="1">
      <c r="B1407" s="25" t="str">
        <f ca="1">IFERROR(__xludf.DUMMYFUNCTION("""COMPUTED_VALUE"""),"MUNICIPALIDAD DISTRITAL")</f>
        <v>MUNICIPALIDAD DISTRITAL</v>
      </c>
      <c r="C1407" s="25" t="str">
        <f ca="1">IFERROR(__xludf.DUMMYFUNCTION("""COMPUTED_VALUE"""),"MUNICIPALIDAD DISTRITAL DE HUAURA")</f>
        <v>MUNICIPALIDAD DISTRITAL DE HUAURA</v>
      </c>
      <c r="D1407" s="25" t="str">
        <f ca="1">IFERROR(__xludf.DUMMYFUNCTION("""COMPUTED_VALUE"""),"SEDE CENTRAL")</f>
        <v>SEDE CENTRAL</v>
      </c>
      <c r="E1407" s="25" t="str">
        <f ca="1">IFERROR(__xludf.DUMMYFUNCTION("""COMPUTED_VALUE"""),"LIMA")</f>
        <v>LIMA</v>
      </c>
      <c r="F1407" s="25" t="str">
        <f ca="1">IFERROR(__xludf.DUMMYFUNCTION("""COMPUTED_VALUE"""),"HUAURA")</f>
        <v>HUAURA</v>
      </c>
      <c r="G1407" s="25" t="str">
        <f ca="1">IFERROR(__xludf.DUMMYFUNCTION("""COMPUTED_VALUE"""),"HUAURA")</f>
        <v>HUAURA</v>
      </c>
      <c r="H1407" s="25" t="str">
        <f ca="1">IFERROR(__xludf.DUMMYFUNCTION("""COMPUTED_VALUE"""),"URBANO")</f>
        <v>URBANO</v>
      </c>
      <c r="I1407" s="25" t="str">
        <f ca="1">IFERROR(__xludf.DUMMYFUNCTION("""COMPUTED_VALUE"""),"Prioridad 2")</f>
        <v>Prioridad 2</v>
      </c>
      <c r="J1407" s="45"/>
    </row>
    <row r="1408" spans="2:10" ht="15.75" customHeight="1">
      <c r="B1408" s="25" t="str">
        <f ca="1">IFERROR(__xludf.DUMMYFUNCTION("""COMPUTED_VALUE"""),"MUNICIPALIDAD DISTRITAL")</f>
        <v>MUNICIPALIDAD DISTRITAL</v>
      </c>
      <c r="C1408" s="25" t="str">
        <f ca="1">IFERROR(__xludf.DUMMYFUNCTION("""COMPUTED_VALUE"""),"MUNICIPALIDAD DISTRITAL DE LEONCIO PRADO EN HUAURA")</f>
        <v>MUNICIPALIDAD DISTRITAL DE LEONCIO PRADO EN HUAURA</v>
      </c>
      <c r="D1408" s="25" t="str">
        <f ca="1">IFERROR(__xludf.DUMMYFUNCTION("""COMPUTED_VALUE"""),"SEDE CENTRAL")</f>
        <v>SEDE CENTRAL</v>
      </c>
      <c r="E1408" s="25" t="str">
        <f ca="1">IFERROR(__xludf.DUMMYFUNCTION("""COMPUTED_VALUE"""),"LIMA")</f>
        <v>LIMA</v>
      </c>
      <c r="F1408" s="25" t="str">
        <f ca="1">IFERROR(__xludf.DUMMYFUNCTION("""COMPUTED_VALUE"""),"HUAURA")</f>
        <v>HUAURA</v>
      </c>
      <c r="G1408" s="25" t="str">
        <f ca="1">IFERROR(__xludf.DUMMYFUNCTION("""COMPUTED_VALUE"""),"LEONCIO PRADO")</f>
        <v>LEONCIO PRADO</v>
      </c>
      <c r="H1408" s="25" t="str">
        <f ca="1">IFERROR(__xludf.DUMMYFUNCTION("""COMPUTED_VALUE"""),"RURAL")</f>
        <v>RURAL</v>
      </c>
      <c r="I1408" s="25" t="str">
        <f ca="1">IFERROR(__xludf.DUMMYFUNCTION("""COMPUTED_VALUE"""),"Prioridad 5")</f>
        <v>Prioridad 5</v>
      </c>
      <c r="J1408" s="45"/>
    </row>
    <row r="1409" spans="2:10" ht="15.75" customHeight="1">
      <c r="B1409" s="25" t="str">
        <f ca="1">IFERROR(__xludf.DUMMYFUNCTION("""COMPUTED_VALUE"""),"MUNICIPALIDAD DISTRITAL")</f>
        <v>MUNICIPALIDAD DISTRITAL</v>
      </c>
      <c r="C1409" s="25" t="str">
        <f ca="1">IFERROR(__xludf.DUMMYFUNCTION("""COMPUTED_VALUE"""),"MUNICIPALIDAD DISTRITAL DE PACCHO")</f>
        <v>MUNICIPALIDAD DISTRITAL DE PACCHO</v>
      </c>
      <c r="D1409" s="25" t="str">
        <f ca="1">IFERROR(__xludf.DUMMYFUNCTION("""COMPUTED_VALUE"""),"SEDE CENTRAL")</f>
        <v>SEDE CENTRAL</v>
      </c>
      <c r="E1409" s="25" t="str">
        <f ca="1">IFERROR(__xludf.DUMMYFUNCTION("""COMPUTED_VALUE"""),"LIMA")</f>
        <v>LIMA</v>
      </c>
      <c r="F1409" s="25" t="str">
        <f ca="1">IFERROR(__xludf.DUMMYFUNCTION("""COMPUTED_VALUE"""),"HUAURA")</f>
        <v>HUAURA</v>
      </c>
      <c r="G1409" s="25" t="str">
        <f ca="1">IFERROR(__xludf.DUMMYFUNCTION("""COMPUTED_VALUE"""),"PACCHO")</f>
        <v>PACCHO</v>
      </c>
      <c r="H1409" s="25" t="str">
        <f ca="1">IFERROR(__xludf.DUMMYFUNCTION("""COMPUTED_VALUE"""),"RURAL")</f>
        <v>RURAL</v>
      </c>
      <c r="I1409" s="25" t="str">
        <f ca="1">IFERROR(__xludf.DUMMYFUNCTION("""COMPUTED_VALUE"""),"Prioridad 4")</f>
        <v>Prioridad 4</v>
      </c>
      <c r="J1409" s="45"/>
    </row>
    <row r="1410" spans="2:10" ht="15.75" customHeight="1">
      <c r="B1410" s="25" t="str">
        <f ca="1">IFERROR(__xludf.DUMMYFUNCTION("""COMPUTED_VALUE"""),"MUNICIPALIDAD DISTRITAL")</f>
        <v>MUNICIPALIDAD DISTRITAL</v>
      </c>
      <c r="C1410" s="25" t="str">
        <f ca="1">IFERROR(__xludf.DUMMYFUNCTION("""COMPUTED_VALUE"""),"MUNICIPALIDAD DISTRITAL DE SANTA LEONOR")</f>
        <v>MUNICIPALIDAD DISTRITAL DE SANTA LEONOR</v>
      </c>
      <c r="D1410" s="25" t="str">
        <f ca="1">IFERROR(__xludf.DUMMYFUNCTION("""COMPUTED_VALUE"""),"SEDE CENTRAL")</f>
        <v>SEDE CENTRAL</v>
      </c>
      <c r="E1410" s="25" t="str">
        <f ca="1">IFERROR(__xludf.DUMMYFUNCTION("""COMPUTED_VALUE"""),"LIMA")</f>
        <v>LIMA</v>
      </c>
      <c r="F1410" s="25" t="str">
        <f ca="1">IFERROR(__xludf.DUMMYFUNCTION("""COMPUTED_VALUE"""),"HUAURA")</f>
        <v>HUAURA</v>
      </c>
      <c r="G1410" s="25" t="str">
        <f ca="1">IFERROR(__xludf.DUMMYFUNCTION("""COMPUTED_VALUE"""),"SANTA LEONOR")</f>
        <v>SANTA LEONOR</v>
      </c>
      <c r="H1410" s="25" t="str">
        <f ca="1">IFERROR(__xludf.DUMMYFUNCTION("""COMPUTED_VALUE"""),"RURAL")</f>
        <v>RURAL</v>
      </c>
      <c r="I1410" s="25" t="str">
        <f ca="1">IFERROR(__xludf.DUMMYFUNCTION("""COMPUTED_VALUE"""),"Prioridad 3")</f>
        <v>Prioridad 3</v>
      </c>
      <c r="J1410" s="45"/>
    </row>
    <row r="1411" spans="2:10" ht="15.75" customHeight="1">
      <c r="B1411" s="25" t="str">
        <f ca="1">IFERROR(__xludf.DUMMYFUNCTION("""COMPUTED_VALUE"""),"MUNICIPALIDAD DISTRITAL")</f>
        <v>MUNICIPALIDAD DISTRITAL</v>
      </c>
      <c r="C1411" s="25" t="str">
        <f ca="1">IFERROR(__xludf.DUMMYFUNCTION("""COMPUTED_VALUE"""),"MUNICIPALIDAD DISTRITAL DE SANTA MARIA")</f>
        <v>MUNICIPALIDAD DISTRITAL DE SANTA MARIA</v>
      </c>
      <c r="D1411" s="25" t="str">
        <f ca="1">IFERROR(__xludf.DUMMYFUNCTION("""COMPUTED_VALUE"""),"SEDE CENTRAL")</f>
        <v>SEDE CENTRAL</v>
      </c>
      <c r="E1411" s="25" t="str">
        <f ca="1">IFERROR(__xludf.DUMMYFUNCTION("""COMPUTED_VALUE"""),"LIMA")</f>
        <v>LIMA</v>
      </c>
      <c r="F1411" s="25" t="str">
        <f ca="1">IFERROR(__xludf.DUMMYFUNCTION("""COMPUTED_VALUE"""),"HUAURA")</f>
        <v>HUAURA</v>
      </c>
      <c r="G1411" s="25" t="str">
        <f ca="1">IFERROR(__xludf.DUMMYFUNCTION("""COMPUTED_VALUE"""),"SANTA MARIA")</f>
        <v>SANTA MARIA</v>
      </c>
      <c r="H1411" s="25" t="str">
        <f ca="1">IFERROR(__xludf.DUMMYFUNCTION("""COMPUTED_VALUE"""),"URBANO")</f>
        <v>URBANO</v>
      </c>
      <c r="I1411" s="25" t="str">
        <f ca="1">IFERROR(__xludf.DUMMYFUNCTION("""COMPUTED_VALUE"""),"Prioridad 1")</f>
        <v>Prioridad 1</v>
      </c>
      <c r="J1411" s="45"/>
    </row>
    <row r="1412" spans="2:10" ht="15.75" customHeight="1">
      <c r="B1412" s="25" t="str">
        <f ca="1">IFERROR(__xludf.DUMMYFUNCTION("""COMPUTED_VALUE"""),"MUNICIPALIDAD DISTRITAL")</f>
        <v>MUNICIPALIDAD DISTRITAL</v>
      </c>
      <c r="C1412" s="25" t="str">
        <f ca="1">IFERROR(__xludf.DUMMYFUNCTION("""COMPUTED_VALUE"""),"MUNICIPALIDAD DISTRITAL DE SAYAN")</f>
        <v>MUNICIPALIDAD DISTRITAL DE SAYAN</v>
      </c>
      <c r="D1412" s="25" t="str">
        <f ca="1">IFERROR(__xludf.DUMMYFUNCTION("""COMPUTED_VALUE"""),"SEDE CENTRAL")</f>
        <v>SEDE CENTRAL</v>
      </c>
      <c r="E1412" s="25" t="str">
        <f ca="1">IFERROR(__xludf.DUMMYFUNCTION("""COMPUTED_VALUE"""),"LIMA")</f>
        <v>LIMA</v>
      </c>
      <c r="F1412" s="25" t="str">
        <f ca="1">IFERROR(__xludf.DUMMYFUNCTION("""COMPUTED_VALUE"""),"HUAURA")</f>
        <v>HUAURA</v>
      </c>
      <c r="G1412" s="25" t="str">
        <f ca="1">IFERROR(__xludf.DUMMYFUNCTION("""COMPUTED_VALUE"""),"SAYAN")</f>
        <v>SAYAN</v>
      </c>
      <c r="H1412" s="25" t="str">
        <f ca="1">IFERROR(__xludf.DUMMYFUNCTION("""COMPUTED_VALUE"""),"URBANO")</f>
        <v>URBANO</v>
      </c>
      <c r="I1412" s="25" t="str">
        <f ca="1">IFERROR(__xludf.DUMMYFUNCTION("""COMPUTED_VALUE"""),"Prioridad 2")</f>
        <v>Prioridad 2</v>
      </c>
      <c r="J1412" s="45"/>
    </row>
    <row r="1413" spans="2:10" ht="15.75" customHeight="1">
      <c r="B1413" s="25" t="str">
        <f ca="1">IFERROR(__xludf.DUMMYFUNCTION("""COMPUTED_VALUE"""),"MUNICIPALIDAD DISTRITAL")</f>
        <v>MUNICIPALIDAD DISTRITAL</v>
      </c>
      <c r="C1413" s="25" t="str">
        <f ca="1">IFERROR(__xludf.DUMMYFUNCTION("""COMPUTED_VALUE"""),"MUNICIPALIDAD DISTRITAL DE VEGUETA")</f>
        <v>MUNICIPALIDAD DISTRITAL DE VEGUETA</v>
      </c>
      <c r="D1413" s="25" t="str">
        <f ca="1">IFERROR(__xludf.DUMMYFUNCTION("""COMPUTED_VALUE"""),"SEDE CENTRAL")</f>
        <v>SEDE CENTRAL</v>
      </c>
      <c r="E1413" s="25" t="str">
        <f ca="1">IFERROR(__xludf.DUMMYFUNCTION("""COMPUTED_VALUE"""),"LIMA")</f>
        <v>LIMA</v>
      </c>
      <c r="F1413" s="25" t="str">
        <f ca="1">IFERROR(__xludf.DUMMYFUNCTION("""COMPUTED_VALUE"""),"HUAURA")</f>
        <v>HUAURA</v>
      </c>
      <c r="G1413" s="25" t="str">
        <f ca="1">IFERROR(__xludf.DUMMYFUNCTION("""COMPUTED_VALUE"""),"VEGUETA")</f>
        <v>VEGUETA</v>
      </c>
      <c r="H1413" s="25" t="str">
        <f ca="1">IFERROR(__xludf.DUMMYFUNCTION("""COMPUTED_VALUE"""),"URBANO")</f>
        <v>URBANO</v>
      </c>
      <c r="I1413" s="25" t="str">
        <f ca="1">IFERROR(__xludf.DUMMYFUNCTION("""COMPUTED_VALUE"""),"Prioridad 4")</f>
        <v>Prioridad 4</v>
      </c>
      <c r="J1413" s="45"/>
    </row>
    <row r="1414" spans="2:10" ht="15.75" customHeight="1">
      <c r="B1414" s="25" t="str">
        <f ca="1">IFERROR(__xludf.DUMMYFUNCTION("""COMPUTED_VALUE"""),"GOBIERNO REGIONAL")</f>
        <v>GOBIERNO REGIONAL</v>
      </c>
      <c r="C1414" s="25" t="str">
        <f ca="1">IFERROR(__xludf.DUMMYFUNCTION("""COMPUTED_VALUE"""),"GOBIERNO REGIONAL DE LIMA")</f>
        <v>GOBIERNO REGIONAL DE LIMA</v>
      </c>
      <c r="D1414" s="25" t="str">
        <f ca="1">IFERROR(__xludf.DUMMYFUNCTION("""COMPUTED_VALUE"""),"SEDE CENTRAL")</f>
        <v>SEDE CENTRAL</v>
      </c>
      <c r="E1414" s="25" t="str">
        <f ca="1">IFERROR(__xludf.DUMMYFUNCTION("""COMPUTED_VALUE"""),"LIMA")</f>
        <v>LIMA</v>
      </c>
      <c r="F1414" s="25" t="str">
        <f ca="1">IFERROR(__xludf.DUMMYFUNCTION("""COMPUTED_VALUE"""),"HUAURA ")</f>
        <v xml:space="preserve">HUAURA </v>
      </c>
      <c r="G1414" s="25"/>
      <c r="H1414" s="25"/>
      <c r="I1414" s="25" t="str">
        <f ca="1">IFERROR(__xludf.DUMMYFUNCTION("""COMPUTED_VALUE"""),"Prioridad 1")</f>
        <v>Prioridad 1</v>
      </c>
      <c r="J1414" s="45"/>
    </row>
    <row r="1415" spans="2:10" ht="15.75" customHeight="1">
      <c r="B1415" s="25" t="str">
        <f ca="1">IFERROR(__xludf.DUMMYFUNCTION("""COMPUTED_VALUE"""),"MUNICIPALIDAD PROVINCIAL")</f>
        <v>MUNICIPALIDAD PROVINCIAL</v>
      </c>
      <c r="C1415" s="25" t="str">
        <f ca="1">IFERROR(__xludf.DUMMYFUNCTION("""COMPUTED_VALUE"""),"MUNICIPALIDAD METROPOLITANA DE LIMA")</f>
        <v>MUNICIPALIDAD METROPOLITANA DE LIMA</v>
      </c>
      <c r="D1415" s="25" t="str">
        <f ca="1">IFERROR(__xludf.DUMMYFUNCTION("""COMPUTED_VALUE"""),"SEDE CENTRAL")</f>
        <v>SEDE CENTRAL</v>
      </c>
      <c r="E1415" s="25" t="str">
        <f ca="1">IFERROR(__xludf.DUMMYFUNCTION("""COMPUTED_VALUE"""),"LIMA")</f>
        <v>LIMA</v>
      </c>
      <c r="F1415" s="25" t="str">
        <f ca="1">IFERROR(__xludf.DUMMYFUNCTION("""COMPUTED_VALUE"""),"LIMA")</f>
        <v>LIMA</v>
      </c>
      <c r="G1415" s="25" t="str">
        <f ca="1">IFERROR(__xludf.DUMMYFUNCTION("""COMPUTED_VALUE"""),"LIMA")</f>
        <v>LIMA</v>
      </c>
      <c r="H1415" s="25" t="str">
        <f ca="1">IFERROR(__xludf.DUMMYFUNCTION("""COMPUTED_VALUE"""),"URBANO")</f>
        <v>URBANO</v>
      </c>
      <c r="I1415" s="25" t="str">
        <f ca="1">IFERROR(__xludf.DUMMYFUNCTION("""COMPUTED_VALUE"""),"Prioridad 1")</f>
        <v>Prioridad 1</v>
      </c>
      <c r="J1415" s="45"/>
    </row>
    <row r="1416" spans="2:10" ht="15.75" customHeight="1">
      <c r="B1416" s="25" t="str">
        <f ca="1">IFERROR(__xludf.DUMMYFUNCTION("""COMPUTED_VALUE"""),"MUNICIPALIDAD DISTRITAL")</f>
        <v>MUNICIPALIDAD DISTRITAL</v>
      </c>
      <c r="C1416" s="25" t="str">
        <f ca="1">IFERROR(__xludf.DUMMYFUNCTION("""COMPUTED_VALUE"""),"MUNICIPALIDAD DISTRITAL DE ANCON")</f>
        <v>MUNICIPALIDAD DISTRITAL DE ANCON</v>
      </c>
      <c r="D1416" s="25" t="str">
        <f ca="1">IFERROR(__xludf.DUMMYFUNCTION("""COMPUTED_VALUE"""),"SEDE CENTRAL")</f>
        <v>SEDE CENTRAL</v>
      </c>
      <c r="E1416" s="25" t="str">
        <f ca="1">IFERROR(__xludf.DUMMYFUNCTION("""COMPUTED_VALUE"""),"LIMA")</f>
        <v>LIMA</v>
      </c>
      <c r="F1416" s="25" t="str">
        <f ca="1">IFERROR(__xludf.DUMMYFUNCTION("""COMPUTED_VALUE"""),"LIMA")</f>
        <v>LIMA</v>
      </c>
      <c r="G1416" s="25" t="str">
        <f ca="1">IFERROR(__xludf.DUMMYFUNCTION("""COMPUTED_VALUE"""),"ANCON")</f>
        <v>ANCON</v>
      </c>
      <c r="H1416" s="25" t="str">
        <f ca="1">IFERROR(__xludf.DUMMYFUNCTION("""COMPUTED_VALUE"""),"URBANO")</f>
        <v>URBANO</v>
      </c>
      <c r="I1416" s="25" t="str">
        <f ca="1">IFERROR(__xludf.DUMMYFUNCTION("""COMPUTED_VALUE"""),"Prioridad 2")</f>
        <v>Prioridad 2</v>
      </c>
      <c r="J1416" s="45"/>
    </row>
    <row r="1417" spans="2:10" ht="15.75" customHeight="1">
      <c r="B1417" s="25" t="str">
        <f ca="1">IFERROR(__xludf.DUMMYFUNCTION("""COMPUTED_VALUE"""),"MUNICIPALIDAD DISTRITAL")</f>
        <v>MUNICIPALIDAD DISTRITAL</v>
      </c>
      <c r="C1417" s="25" t="str">
        <f ca="1">IFERROR(__xludf.DUMMYFUNCTION("""COMPUTED_VALUE"""),"MUNICIPALIDAD DISTRITAL DE ATE")</f>
        <v>MUNICIPALIDAD DISTRITAL DE ATE</v>
      </c>
      <c r="D1417" s="25" t="str">
        <f ca="1">IFERROR(__xludf.DUMMYFUNCTION("""COMPUTED_VALUE"""),"SEDE CENTRAL")</f>
        <v>SEDE CENTRAL</v>
      </c>
      <c r="E1417" s="25" t="str">
        <f ca="1">IFERROR(__xludf.DUMMYFUNCTION("""COMPUTED_VALUE"""),"LIMA")</f>
        <v>LIMA</v>
      </c>
      <c r="F1417" s="25" t="str">
        <f ca="1">IFERROR(__xludf.DUMMYFUNCTION("""COMPUTED_VALUE"""),"LIMA")</f>
        <v>LIMA</v>
      </c>
      <c r="G1417" s="25" t="str">
        <f ca="1">IFERROR(__xludf.DUMMYFUNCTION("""COMPUTED_VALUE"""),"ATE")</f>
        <v>ATE</v>
      </c>
      <c r="H1417" s="25" t="str">
        <f ca="1">IFERROR(__xludf.DUMMYFUNCTION("""COMPUTED_VALUE"""),"URBANO")</f>
        <v>URBANO</v>
      </c>
      <c r="I1417" s="25" t="str">
        <f ca="1">IFERROR(__xludf.DUMMYFUNCTION("""COMPUTED_VALUE"""),"Prioridad 2")</f>
        <v>Prioridad 2</v>
      </c>
      <c r="J1417" s="45"/>
    </row>
    <row r="1418" spans="2:10" ht="15.75" customHeight="1">
      <c r="B1418" s="25" t="str">
        <f ca="1">IFERROR(__xludf.DUMMYFUNCTION("""COMPUTED_VALUE"""),"MUNICIPALIDAD DISTRITAL")</f>
        <v>MUNICIPALIDAD DISTRITAL</v>
      </c>
      <c r="C1418" s="25" t="str">
        <f ca="1">IFERROR(__xludf.DUMMYFUNCTION("""COMPUTED_VALUE"""),"MUNICIPALIDAD DISTRITAL DE BARRANCO")</f>
        <v>MUNICIPALIDAD DISTRITAL DE BARRANCO</v>
      </c>
      <c r="D1418" s="25" t="str">
        <f ca="1">IFERROR(__xludf.DUMMYFUNCTION("""COMPUTED_VALUE"""),"SEDE CENTRAL")</f>
        <v>SEDE CENTRAL</v>
      </c>
      <c r="E1418" s="25" t="str">
        <f ca="1">IFERROR(__xludf.DUMMYFUNCTION("""COMPUTED_VALUE"""),"LIMA")</f>
        <v>LIMA</v>
      </c>
      <c r="F1418" s="25" t="str">
        <f ca="1">IFERROR(__xludf.DUMMYFUNCTION("""COMPUTED_VALUE"""),"LIMA")</f>
        <v>LIMA</v>
      </c>
      <c r="G1418" s="25" t="str">
        <f ca="1">IFERROR(__xludf.DUMMYFUNCTION("""COMPUTED_VALUE"""),"BARRANCO")</f>
        <v>BARRANCO</v>
      </c>
      <c r="H1418" s="25" t="str">
        <f ca="1">IFERROR(__xludf.DUMMYFUNCTION("""COMPUTED_VALUE"""),"URBANO")</f>
        <v>URBANO</v>
      </c>
      <c r="I1418" s="25" t="str">
        <f ca="1">IFERROR(__xludf.DUMMYFUNCTION("""COMPUTED_VALUE"""),"Prioridad 3")</f>
        <v>Prioridad 3</v>
      </c>
      <c r="J1418" s="45"/>
    </row>
    <row r="1419" spans="2:10" ht="15.75" customHeight="1">
      <c r="B1419" s="25" t="str">
        <f ca="1">IFERROR(__xludf.DUMMYFUNCTION("""COMPUTED_VALUE"""),"MUNICIPALIDAD DISTRITAL")</f>
        <v>MUNICIPALIDAD DISTRITAL</v>
      </c>
      <c r="C1419" s="25" t="str">
        <f ca="1">IFERROR(__xludf.DUMMYFUNCTION("""COMPUTED_VALUE"""),"MUNICIPALIDAD DISTRITAL DE BREÑA")</f>
        <v>MUNICIPALIDAD DISTRITAL DE BREÑA</v>
      </c>
      <c r="D1419" s="25" t="str">
        <f ca="1">IFERROR(__xludf.DUMMYFUNCTION("""COMPUTED_VALUE"""),"SEDE CENTRAL")</f>
        <v>SEDE CENTRAL</v>
      </c>
      <c r="E1419" s="25" t="str">
        <f ca="1">IFERROR(__xludf.DUMMYFUNCTION("""COMPUTED_VALUE"""),"LIMA")</f>
        <v>LIMA</v>
      </c>
      <c r="F1419" s="25" t="str">
        <f ca="1">IFERROR(__xludf.DUMMYFUNCTION("""COMPUTED_VALUE"""),"LIMA")</f>
        <v>LIMA</v>
      </c>
      <c r="G1419" s="25" t="str">
        <f ca="1">IFERROR(__xludf.DUMMYFUNCTION("""COMPUTED_VALUE"""),"BREÑA")</f>
        <v>BREÑA</v>
      </c>
      <c r="H1419" s="25" t="str">
        <f ca="1">IFERROR(__xludf.DUMMYFUNCTION("""COMPUTED_VALUE"""),"URBANO")</f>
        <v>URBANO</v>
      </c>
      <c r="I1419" s="25" t="str">
        <f ca="1">IFERROR(__xludf.DUMMYFUNCTION("""COMPUTED_VALUE"""),"Prioridad 3")</f>
        <v>Prioridad 3</v>
      </c>
      <c r="J1419" s="45"/>
    </row>
    <row r="1420" spans="2:10" ht="15.75" customHeight="1">
      <c r="B1420" s="25" t="str">
        <f ca="1">IFERROR(__xludf.DUMMYFUNCTION("""COMPUTED_VALUE"""),"MUNICIPALIDAD DISTRITAL")</f>
        <v>MUNICIPALIDAD DISTRITAL</v>
      </c>
      <c r="C1420" s="25" t="str">
        <f ca="1">IFERROR(__xludf.DUMMYFUNCTION("""COMPUTED_VALUE"""),"MUNICIPALIDAD DISTRITAL DE CARABAYLLO")</f>
        <v>MUNICIPALIDAD DISTRITAL DE CARABAYLLO</v>
      </c>
      <c r="D1420" s="25" t="str">
        <f ca="1">IFERROR(__xludf.DUMMYFUNCTION("""COMPUTED_VALUE"""),"SEDE CENTRAL")</f>
        <v>SEDE CENTRAL</v>
      </c>
      <c r="E1420" s="25" t="str">
        <f ca="1">IFERROR(__xludf.DUMMYFUNCTION("""COMPUTED_VALUE"""),"LIMA")</f>
        <v>LIMA</v>
      </c>
      <c r="F1420" s="25" t="str">
        <f ca="1">IFERROR(__xludf.DUMMYFUNCTION("""COMPUTED_VALUE"""),"LIMA")</f>
        <v>LIMA</v>
      </c>
      <c r="G1420" s="25" t="str">
        <f ca="1">IFERROR(__xludf.DUMMYFUNCTION("""COMPUTED_VALUE"""),"CARABAYLLO")</f>
        <v>CARABAYLLO</v>
      </c>
      <c r="H1420" s="25" t="str">
        <f ca="1">IFERROR(__xludf.DUMMYFUNCTION("""COMPUTED_VALUE"""),"URBANO")</f>
        <v>URBANO</v>
      </c>
      <c r="I1420" s="25" t="str">
        <f ca="1">IFERROR(__xludf.DUMMYFUNCTION("""COMPUTED_VALUE"""),"Prioridad 2")</f>
        <v>Prioridad 2</v>
      </c>
      <c r="J1420" s="45"/>
    </row>
    <row r="1421" spans="2:10" ht="15.75" customHeight="1">
      <c r="B1421" s="25" t="str">
        <f ca="1">IFERROR(__xludf.DUMMYFUNCTION("""COMPUTED_VALUE"""),"MUNICIPALIDAD DISTRITAL")</f>
        <v>MUNICIPALIDAD DISTRITAL</v>
      </c>
      <c r="C1421" s="25" t="str">
        <f ca="1">IFERROR(__xludf.DUMMYFUNCTION("""COMPUTED_VALUE"""),"MUNICIPALIDAD DISTRITAL DE CHACLACAYO")</f>
        <v>MUNICIPALIDAD DISTRITAL DE CHACLACAYO</v>
      </c>
      <c r="D1421" s="25" t="str">
        <f ca="1">IFERROR(__xludf.DUMMYFUNCTION("""COMPUTED_VALUE"""),"SEDE CENTRAL")</f>
        <v>SEDE CENTRAL</v>
      </c>
      <c r="E1421" s="25" t="str">
        <f ca="1">IFERROR(__xludf.DUMMYFUNCTION("""COMPUTED_VALUE"""),"LIMA")</f>
        <v>LIMA</v>
      </c>
      <c r="F1421" s="25" t="str">
        <f ca="1">IFERROR(__xludf.DUMMYFUNCTION("""COMPUTED_VALUE"""),"LIMA")</f>
        <v>LIMA</v>
      </c>
      <c r="G1421" s="25" t="str">
        <f ca="1">IFERROR(__xludf.DUMMYFUNCTION("""COMPUTED_VALUE"""),"CHACLACAYO")</f>
        <v>CHACLACAYO</v>
      </c>
      <c r="H1421" s="25" t="str">
        <f ca="1">IFERROR(__xludf.DUMMYFUNCTION("""COMPUTED_VALUE"""),"URBANO")</f>
        <v>URBANO</v>
      </c>
      <c r="I1421" s="25" t="str">
        <f ca="1">IFERROR(__xludf.DUMMYFUNCTION("""COMPUTED_VALUE"""),"Prioridad 2")</f>
        <v>Prioridad 2</v>
      </c>
      <c r="J1421" s="45"/>
    </row>
    <row r="1422" spans="2:10" ht="15.75" customHeight="1">
      <c r="B1422" s="25" t="str">
        <f ca="1">IFERROR(__xludf.DUMMYFUNCTION("""COMPUTED_VALUE"""),"MUNICIPALIDAD DISTRITAL")</f>
        <v>MUNICIPALIDAD DISTRITAL</v>
      </c>
      <c r="C1422" s="25" t="str">
        <f ca="1">IFERROR(__xludf.DUMMYFUNCTION("""COMPUTED_VALUE"""),"MUNICIPALIDAD DISTRITAL DE CHORRILLOS")</f>
        <v>MUNICIPALIDAD DISTRITAL DE CHORRILLOS</v>
      </c>
      <c r="D1422" s="25" t="str">
        <f ca="1">IFERROR(__xludf.DUMMYFUNCTION("""COMPUTED_VALUE"""),"SEDE CENTRAL")</f>
        <v>SEDE CENTRAL</v>
      </c>
      <c r="E1422" s="25" t="str">
        <f ca="1">IFERROR(__xludf.DUMMYFUNCTION("""COMPUTED_VALUE"""),"LIMA")</f>
        <v>LIMA</v>
      </c>
      <c r="F1422" s="25" t="str">
        <f ca="1">IFERROR(__xludf.DUMMYFUNCTION("""COMPUTED_VALUE"""),"LIMA")</f>
        <v>LIMA</v>
      </c>
      <c r="G1422" s="25" t="str">
        <f ca="1">IFERROR(__xludf.DUMMYFUNCTION("""COMPUTED_VALUE"""),"CHORRILLOS")</f>
        <v>CHORRILLOS</v>
      </c>
      <c r="H1422" s="25" t="str">
        <f ca="1">IFERROR(__xludf.DUMMYFUNCTION("""COMPUTED_VALUE"""),"URBANO")</f>
        <v>URBANO</v>
      </c>
      <c r="I1422" s="25" t="str">
        <f ca="1">IFERROR(__xludf.DUMMYFUNCTION("""COMPUTED_VALUE"""),"Prioridad 2")</f>
        <v>Prioridad 2</v>
      </c>
      <c r="J1422" s="45"/>
    </row>
    <row r="1423" spans="2:10" ht="15.75" customHeight="1">
      <c r="B1423" s="25" t="str">
        <f ca="1">IFERROR(__xludf.DUMMYFUNCTION("""COMPUTED_VALUE"""),"MUNICIPALIDAD DISTRITAL")</f>
        <v>MUNICIPALIDAD DISTRITAL</v>
      </c>
      <c r="C1423" s="25" t="str">
        <f ca="1">IFERROR(__xludf.DUMMYFUNCTION("""COMPUTED_VALUE"""),"MUNICIPALIDAD DISTRITAL DE CIENEGUILLA")</f>
        <v>MUNICIPALIDAD DISTRITAL DE CIENEGUILLA</v>
      </c>
      <c r="D1423" s="25" t="str">
        <f ca="1">IFERROR(__xludf.DUMMYFUNCTION("""COMPUTED_VALUE"""),"SEDE CENTRAL")</f>
        <v>SEDE CENTRAL</v>
      </c>
      <c r="E1423" s="25" t="str">
        <f ca="1">IFERROR(__xludf.DUMMYFUNCTION("""COMPUTED_VALUE"""),"LIMA")</f>
        <v>LIMA</v>
      </c>
      <c r="F1423" s="25" t="str">
        <f ca="1">IFERROR(__xludf.DUMMYFUNCTION("""COMPUTED_VALUE"""),"LIMA")</f>
        <v>LIMA</v>
      </c>
      <c r="G1423" s="25" t="str">
        <f ca="1">IFERROR(__xludf.DUMMYFUNCTION("""COMPUTED_VALUE"""),"CIENEGUILLA")</f>
        <v>CIENEGUILLA</v>
      </c>
      <c r="H1423" s="25" t="str">
        <f ca="1">IFERROR(__xludf.DUMMYFUNCTION("""COMPUTED_VALUE"""),"URBANO")</f>
        <v>URBANO</v>
      </c>
      <c r="I1423" s="25" t="str">
        <f ca="1">IFERROR(__xludf.DUMMYFUNCTION("""COMPUTED_VALUE"""),"Prioridad 3")</f>
        <v>Prioridad 3</v>
      </c>
      <c r="J1423" s="45"/>
    </row>
    <row r="1424" spans="2:10" ht="15.75" customHeight="1">
      <c r="B1424" s="25" t="str">
        <f ca="1">IFERROR(__xludf.DUMMYFUNCTION("""COMPUTED_VALUE"""),"MUNICIPALIDAD DISTRITAL")</f>
        <v>MUNICIPALIDAD DISTRITAL</v>
      </c>
      <c r="C1424" s="25" t="str">
        <f ca="1">IFERROR(__xludf.DUMMYFUNCTION("""COMPUTED_VALUE"""),"MUNICIPALIDAD DISTRITAL DE COMAS EN LIMA")</f>
        <v>MUNICIPALIDAD DISTRITAL DE COMAS EN LIMA</v>
      </c>
      <c r="D1424" s="25" t="str">
        <f ca="1">IFERROR(__xludf.DUMMYFUNCTION("""COMPUTED_VALUE"""),"SEDE CENTRAL")</f>
        <v>SEDE CENTRAL</v>
      </c>
      <c r="E1424" s="25" t="str">
        <f ca="1">IFERROR(__xludf.DUMMYFUNCTION("""COMPUTED_VALUE"""),"LIMA")</f>
        <v>LIMA</v>
      </c>
      <c r="F1424" s="25" t="str">
        <f ca="1">IFERROR(__xludf.DUMMYFUNCTION("""COMPUTED_VALUE"""),"LIMA")</f>
        <v>LIMA</v>
      </c>
      <c r="G1424" s="25" t="str">
        <f ca="1">IFERROR(__xludf.DUMMYFUNCTION("""COMPUTED_VALUE"""),"COMAS")</f>
        <v>COMAS</v>
      </c>
      <c r="H1424" s="25" t="str">
        <f ca="1">IFERROR(__xludf.DUMMYFUNCTION("""COMPUTED_VALUE"""),"URBANO")</f>
        <v>URBANO</v>
      </c>
      <c r="I1424" s="25" t="str">
        <f ca="1">IFERROR(__xludf.DUMMYFUNCTION("""COMPUTED_VALUE"""),"Prioridad 2")</f>
        <v>Prioridad 2</v>
      </c>
      <c r="J1424" s="45"/>
    </row>
    <row r="1425" spans="2:10" ht="15.75" customHeight="1">
      <c r="B1425" s="25" t="str">
        <f ca="1">IFERROR(__xludf.DUMMYFUNCTION("""COMPUTED_VALUE"""),"MUNICIPALIDAD DISTRITAL")</f>
        <v>MUNICIPALIDAD DISTRITAL</v>
      </c>
      <c r="C1425" s="25" t="str">
        <f ca="1">IFERROR(__xludf.DUMMYFUNCTION("""COMPUTED_VALUE"""),"MUNICIPALIDAD DISTRITAL DE EL AGUSTINO")</f>
        <v>MUNICIPALIDAD DISTRITAL DE EL AGUSTINO</v>
      </c>
      <c r="D1425" s="25" t="str">
        <f ca="1">IFERROR(__xludf.DUMMYFUNCTION("""COMPUTED_VALUE"""),"SEDE CENTRAL")</f>
        <v>SEDE CENTRAL</v>
      </c>
      <c r="E1425" s="25" t="str">
        <f ca="1">IFERROR(__xludf.DUMMYFUNCTION("""COMPUTED_VALUE"""),"LIMA")</f>
        <v>LIMA</v>
      </c>
      <c r="F1425" s="25" t="str">
        <f ca="1">IFERROR(__xludf.DUMMYFUNCTION("""COMPUTED_VALUE"""),"LIMA")</f>
        <v>LIMA</v>
      </c>
      <c r="G1425" s="25" t="str">
        <f ca="1">IFERROR(__xludf.DUMMYFUNCTION("""COMPUTED_VALUE"""),"EL AGUSTINO")</f>
        <v>EL AGUSTINO</v>
      </c>
      <c r="H1425" s="25" t="str">
        <f ca="1">IFERROR(__xludf.DUMMYFUNCTION("""COMPUTED_VALUE"""),"URBANO")</f>
        <v>URBANO</v>
      </c>
      <c r="I1425" s="25" t="str">
        <f ca="1">IFERROR(__xludf.DUMMYFUNCTION("""COMPUTED_VALUE"""),"Prioridad 2")</f>
        <v>Prioridad 2</v>
      </c>
      <c r="J1425" s="45"/>
    </row>
    <row r="1426" spans="2:10" ht="15.75" customHeight="1">
      <c r="B1426" s="25" t="str">
        <f ca="1">IFERROR(__xludf.DUMMYFUNCTION("""COMPUTED_VALUE"""),"MUNICIPALIDAD DISTRITAL")</f>
        <v>MUNICIPALIDAD DISTRITAL</v>
      </c>
      <c r="C1426" s="25" t="str">
        <f ca="1">IFERROR(__xludf.DUMMYFUNCTION("""COMPUTED_VALUE"""),"MUNICIPALIDAD DISTRITAL DE INDEPENDENCIA EN LIMA")</f>
        <v>MUNICIPALIDAD DISTRITAL DE INDEPENDENCIA EN LIMA</v>
      </c>
      <c r="D1426" s="25" t="str">
        <f ca="1">IFERROR(__xludf.DUMMYFUNCTION("""COMPUTED_VALUE"""),"SEDE CENTRAL")</f>
        <v>SEDE CENTRAL</v>
      </c>
      <c r="E1426" s="25" t="str">
        <f ca="1">IFERROR(__xludf.DUMMYFUNCTION("""COMPUTED_VALUE"""),"LIMA")</f>
        <v>LIMA</v>
      </c>
      <c r="F1426" s="25" t="str">
        <f ca="1">IFERROR(__xludf.DUMMYFUNCTION("""COMPUTED_VALUE"""),"LIMA")</f>
        <v>LIMA</v>
      </c>
      <c r="G1426" s="25" t="str">
        <f ca="1">IFERROR(__xludf.DUMMYFUNCTION("""COMPUTED_VALUE"""),"INDEPENDENCIA")</f>
        <v>INDEPENDENCIA</v>
      </c>
      <c r="H1426" s="25" t="str">
        <f ca="1">IFERROR(__xludf.DUMMYFUNCTION("""COMPUTED_VALUE"""),"URBANO")</f>
        <v>URBANO</v>
      </c>
      <c r="I1426" s="25" t="str">
        <f ca="1">IFERROR(__xludf.DUMMYFUNCTION("""COMPUTED_VALUE"""),"Prioridad 2")</f>
        <v>Prioridad 2</v>
      </c>
      <c r="J1426" s="45"/>
    </row>
    <row r="1427" spans="2:10" ht="15.75" customHeight="1">
      <c r="B1427" s="25" t="str">
        <f ca="1">IFERROR(__xludf.DUMMYFUNCTION("""COMPUTED_VALUE"""),"MUNICIPALIDAD DISTRITAL")</f>
        <v>MUNICIPALIDAD DISTRITAL</v>
      </c>
      <c r="C1427" s="25" t="str">
        <f ca="1">IFERROR(__xludf.DUMMYFUNCTION("""COMPUTED_VALUE"""),"MUNICIPALIDAD DISTRITAL DE JESUS MARIA")</f>
        <v>MUNICIPALIDAD DISTRITAL DE JESUS MARIA</v>
      </c>
      <c r="D1427" s="25" t="str">
        <f ca="1">IFERROR(__xludf.DUMMYFUNCTION("""COMPUTED_VALUE"""),"SEDE CENTRAL")</f>
        <v>SEDE CENTRAL</v>
      </c>
      <c r="E1427" s="25" t="str">
        <f ca="1">IFERROR(__xludf.DUMMYFUNCTION("""COMPUTED_VALUE"""),"LIMA")</f>
        <v>LIMA</v>
      </c>
      <c r="F1427" s="25" t="str">
        <f ca="1">IFERROR(__xludf.DUMMYFUNCTION("""COMPUTED_VALUE"""),"LIMA")</f>
        <v>LIMA</v>
      </c>
      <c r="G1427" s="25" t="str">
        <f ca="1">IFERROR(__xludf.DUMMYFUNCTION("""COMPUTED_VALUE"""),"JESUS MARIA")</f>
        <v>JESUS MARIA</v>
      </c>
      <c r="H1427" s="25" t="str">
        <f ca="1">IFERROR(__xludf.DUMMYFUNCTION("""COMPUTED_VALUE"""),"URBANO")</f>
        <v>URBANO</v>
      </c>
      <c r="I1427" s="25" t="str">
        <f ca="1">IFERROR(__xludf.DUMMYFUNCTION("""COMPUTED_VALUE"""),"Prioridad 3")</f>
        <v>Prioridad 3</v>
      </c>
      <c r="J1427" s="45"/>
    </row>
    <row r="1428" spans="2:10" ht="15.75" customHeight="1">
      <c r="B1428" s="25" t="str">
        <f ca="1">IFERROR(__xludf.DUMMYFUNCTION("""COMPUTED_VALUE"""),"MUNICIPALIDAD DISTRITAL")</f>
        <v>MUNICIPALIDAD DISTRITAL</v>
      </c>
      <c r="C1428" s="25" t="str">
        <f ca="1">IFERROR(__xludf.DUMMYFUNCTION("""COMPUTED_VALUE"""),"MUNICIPALIDAD DISTRITAL DE LA MOLINA")</f>
        <v>MUNICIPALIDAD DISTRITAL DE LA MOLINA</v>
      </c>
      <c r="D1428" s="25" t="str">
        <f ca="1">IFERROR(__xludf.DUMMYFUNCTION("""COMPUTED_VALUE"""),"SEDE CENTRAL")</f>
        <v>SEDE CENTRAL</v>
      </c>
      <c r="E1428" s="25" t="str">
        <f ca="1">IFERROR(__xludf.DUMMYFUNCTION("""COMPUTED_VALUE"""),"LIMA")</f>
        <v>LIMA</v>
      </c>
      <c r="F1428" s="25" t="str">
        <f ca="1">IFERROR(__xludf.DUMMYFUNCTION("""COMPUTED_VALUE"""),"LIMA")</f>
        <v>LIMA</v>
      </c>
      <c r="G1428" s="25" t="str">
        <f ca="1">IFERROR(__xludf.DUMMYFUNCTION("""COMPUTED_VALUE"""),"LA MOLINA")</f>
        <v>LA MOLINA</v>
      </c>
      <c r="H1428" s="25" t="str">
        <f ca="1">IFERROR(__xludf.DUMMYFUNCTION("""COMPUTED_VALUE"""),"URBANO")</f>
        <v>URBANO</v>
      </c>
      <c r="I1428" s="25" t="str">
        <f ca="1">IFERROR(__xludf.DUMMYFUNCTION("""COMPUTED_VALUE"""),"Prioridad 2")</f>
        <v>Prioridad 2</v>
      </c>
      <c r="J1428" s="45"/>
    </row>
    <row r="1429" spans="2:10" ht="15.75" customHeight="1">
      <c r="B1429" s="25" t="str">
        <f ca="1">IFERROR(__xludf.DUMMYFUNCTION("""COMPUTED_VALUE"""),"MUNICIPALIDAD DISTRITAL")</f>
        <v>MUNICIPALIDAD DISTRITAL</v>
      </c>
      <c r="C1429" s="25" t="str">
        <f ca="1">IFERROR(__xludf.DUMMYFUNCTION("""COMPUTED_VALUE"""),"MUNICIPALIDAD DISTRITAL DE LA VICTORIA EN LIMA")</f>
        <v>MUNICIPALIDAD DISTRITAL DE LA VICTORIA EN LIMA</v>
      </c>
      <c r="D1429" s="25" t="str">
        <f ca="1">IFERROR(__xludf.DUMMYFUNCTION("""COMPUTED_VALUE"""),"SEDE CENTRAL")</f>
        <v>SEDE CENTRAL</v>
      </c>
      <c r="E1429" s="25" t="str">
        <f ca="1">IFERROR(__xludf.DUMMYFUNCTION("""COMPUTED_VALUE"""),"LIMA")</f>
        <v>LIMA</v>
      </c>
      <c r="F1429" s="25" t="str">
        <f ca="1">IFERROR(__xludf.DUMMYFUNCTION("""COMPUTED_VALUE"""),"LIMA")</f>
        <v>LIMA</v>
      </c>
      <c r="G1429" s="25" t="str">
        <f ca="1">IFERROR(__xludf.DUMMYFUNCTION("""COMPUTED_VALUE"""),"LA VICTORIA")</f>
        <v>LA VICTORIA</v>
      </c>
      <c r="H1429" s="25" t="str">
        <f ca="1">IFERROR(__xludf.DUMMYFUNCTION("""COMPUTED_VALUE"""),"URBANO")</f>
        <v>URBANO</v>
      </c>
      <c r="I1429" s="25" t="str">
        <f ca="1">IFERROR(__xludf.DUMMYFUNCTION("""COMPUTED_VALUE"""),"Prioridad 3")</f>
        <v>Prioridad 3</v>
      </c>
      <c r="J1429" s="45"/>
    </row>
    <row r="1430" spans="2:10" ht="15.75" customHeight="1">
      <c r="B1430" s="25" t="str">
        <f ca="1">IFERROR(__xludf.DUMMYFUNCTION("""COMPUTED_VALUE"""),"MUNICIPALIDAD DISTRITAL")</f>
        <v>MUNICIPALIDAD DISTRITAL</v>
      </c>
      <c r="C1430" s="25" t="str">
        <f ca="1">IFERROR(__xludf.DUMMYFUNCTION("""COMPUTED_VALUE"""),"MUNICIPALIDAD DISTRITAL DE LINCE")</f>
        <v>MUNICIPALIDAD DISTRITAL DE LINCE</v>
      </c>
      <c r="D1430" s="25" t="str">
        <f ca="1">IFERROR(__xludf.DUMMYFUNCTION("""COMPUTED_VALUE"""),"SEDE CENTRAL")</f>
        <v>SEDE CENTRAL</v>
      </c>
      <c r="E1430" s="25" t="str">
        <f ca="1">IFERROR(__xludf.DUMMYFUNCTION("""COMPUTED_VALUE"""),"LIMA")</f>
        <v>LIMA</v>
      </c>
      <c r="F1430" s="25" t="str">
        <f ca="1">IFERROR(__xludf.DUMMYFUNCTION("""COMPUTED_VALUE"""),"LIMA")</f>
        <v>LIMA</v>
      </c>
      <c r="G1430" s="25" t="str">
        <f ca="1">IFERROR(__xludf.DUMMYFUNCTION("""COMPUTED_VALUE"""),"LINCE")</f>
        <v>LINCE</v>
      </c>
      <c r="H1430" s="25" t="str">
        <f ca="1">IFERROR(__xludf.DUMMYFUNCTION("""COMPUTED_VALUE"""),"URBANO")</f>
        <v>URBANO</v>
      </c>
      <c r="I1430" s="25" t="str">
        <f ca="1">IFERROR(__xludf.DUMMYFUNCTION("""COMPUTED_VALUE"""),"Prioridad 3")</f>
        <v>Prioridad 3</v>
      </c>
      <c r="J1430" s="45"/>
    </row>
    <row r="1431" spans="2:10" ht="15.75" customHeight="1">
      <c r="B1431" s="25" t="str">
        <f ca="1">IFERROR(__xludf.DUMMYFUNCTION("""COMPUTED_VALUE"""),"MUNICIPALIDAD DISTRITAL")</f>
        <v>MUNICIPALIDAD DISTRITAL</v>
      </c>
      <c r="C1431" s="25" t="str">
        <f ca="1">IFERROR(__xludf.DUMMYFUNCTION("""COMPUTED_VALUE"""),"MUNICIPALIDAD DISTRITAL DE LOS OLIVOS")</f>
        <v>MUNICIPALIDAD DISTRITAL DE LOS OLIVOS</v>
      </c>
      <c r="D1431" s="25" t="str">
        <f ca="1">IFERROR(__xludf.DUMMYFUNCTION("""COMPUTED_VALUE"""),"SEDE CENTRAL")</f>
        <v>SEDE CENTRAL</v>
      </c>
      <c r="E1431" s="25" t="str">
        <f ca="1">IFERROR(__xludf.DUMMYFUNCTION("""COMPUTED_VALUE"""),"LIMA")</f>
        <v>LIMA</v>
      </c>
      <c r="F1431" s="25" t="str">
        <f ca="1">IFERROR(__xludf.DUMMYFUNCTION("""COMPUTED_VALUE"""),"LIMA")</f>
        <v>LIMA</v>
      </c>
      <c r="G1431" s="25" t="str">
        <f ca="1">IFERROR(__xludf.DUMMYFUNCTION("""COMPUTED_VALUE"""),"LOS OLIVOS")</f>
        <v>LOS OLIVOS</v>
      </c>
      <c r="H1431" s="25" t="str">
        <f ca="1">IFERROR(__xludf.DUMMYFUNCTION("""COMPUTED_VALUE"""),"URBANO")</f>
        <v>URBANO</v>
      </c>
      <c r="I1431" s="25" t="str">
        <f ca="1">IFERROR(__xludf.DUMMYFUNCTION("""COMPUTED_VALUE"""),"Prioridad 2")</f>
        <v>Prioridad 2</v>
      </c>
      <c r="J1431" s="45"/>
    </row>
    <row r="1432" spans="2:10" ht="15.75" customHeight="1">
      <c r="B1432" s="25" t="str">
        <f ca="1">IFERROR(__xludf.DUMMYFUNCTION("""COMPUTED_VALUE"""),"MUNICIPALIDAD DISTRITAL")</f>
        <v>MUNICIPALIDAD DISTRITAL</v>
      </c>
      <c r="C1432" s="25" t="str">
        <f ca="1">IFERROR(__xludf.DUMMYFUNCTION("""COMPUTED_VALUE"""),"MUNICIPALIDAD DISTRITAL DE LURIGANCHO")</f>
        <v>MUNICIPALIDAD DISTRITAL DE LURIGANCHO</v>
      </c>
      <c r="D1432" s="25" t="str">
        <f ca="1">IFERROR(__xludf.DUMMYFUNCTION("""COMPUTED_VALUE"""),"SEDE CENTRAL")</f>
        <v>SEDE CENTRAL</v>
      </c>
      <c r="E1432" s="25" t="str">
        <f ca="1">IFERROR(__xludf.DUMMYFUNCTION("""COMPUTED_VALUE"""),"LIMA")</f>
        <v>LIMA</v>
      </c>
      <c r="F1432" s="25" t="str">
        <f ca="1">IFERROR(__xludf.DUMMYFUNCTION("""COMPUTED_VALUE"""),"LIMA")</f>
        <v>LIMA</v>
      </c>
      <c r="G1432" s="25" t="str">
        <f ca="1">IFERROR(__xludf.DUMMYFUNCTION("""COMPUTED_VALUE"""),"LURIGANCHO")</f>
        <v>LURIGANCHO</v>
      </c>
      <c r="H1432" s="25" t="str">
        <f ca="1">IFERROR(__xludf.DUMMYFUNCTION("""COMPUTED_VALUE"""),"URBANO")</f>
        <v>URBANO</v>
      </c>
      <c r="I1432" s="25" t="str">
        <f ca="1">IFERROR(__xludf.DUMMYFUNCTION("""COMPUTED_VALUE"""),"Prioridad 2")</f>
        <v>Prioridad 2</v>
      </c>
      <c r="J1432" s="45"/>
    </row>
    <row r="1433" spans="2:10" ht="15.75" customHeight="1">
      <c r="B1433" s="25" t="str">
        <f ca="1">IFERROR(__xludf.DUMMYFUNCTION("""COMPUTED_VALUE"""),"OTROS")</f>
        <v>OTROS</v>
      </c>
      <c r="C1433" s="25" t="str">
        <f ca="1">IFERROR(__xludf.DUMMYFUNCTION("""COMPUTED_VALUE"""),"ESCUELA SUPERIOR DE FORMACIÓN ARTÍSTICA PÚBLICA ""ERNESTO LOPEZ MINDREAU""")</f>
        <v>ESCUELA SUPERIOR DE FORMACIÓN ARTÍSTICA PÚBLICA "ERNESTO LOPEZ MINDREAU"</v>
      </c>
      <c r="D1433" s="25" t="str">
        <f ca="1">IFERROR(__xludf.DUMMYFUNCTION("""COMPUTED_VALUE"""),"LAMBAYEQUE")</f>
        <v>LAMBAYEQUE</v>
      </c>
      <c r="E1433" s="25"/>
      <c r="F1433" s="25"/>
      <c r="G1433" s="25"/>
      <c r="H1433" s="25"/>
      <c r="I1433" s="25" t="str">
        <f ca="1">IFERROR(__xludf.DUMMYFUNCTION("""COMPUTED_VALUE"""),"No aplica")</f>
        <v>No aplica</v>
      </c>
      <c r="J1433" s="45"/>
    </row>
    <row r="1434" spans="2:10" ht="15.75" customHeight="1">
      <c r="B1434" s="25" t="str">
        <f ca="1">IFERROR(__xludf.DUMMYFUNCTION("""COMPUTED_VALUE"""),"MUNICIPALIDAD DISTRITAL")</f>
        <v>MUNICIPALIDAD DISTRITAL</v>
      </c>
      <c r="C1434" s="25" t="str">
        <f ca="1">IFERROR(__xludf.DUMMYFUNCTION("""COMPUTED_VALUE"""),"MUNICIPALIDAD DISTRITAL DE LURIN")</f>
        <v>MUNICIPALIDAD DISTRITAL DE LURIN</v>
      </c>
      <c r="D1434" s="25" t="str">
        <f ca="1">IFERROR(__xludf.DUMMYFUNCTION("""COMPUTED_VALUE"""),"SEDE CENTRAL")</f>
        <v>SEDE CENTRAL</v>
      </c>
      <c r="E1434" s="25" t="str">
        <f ca="1">IFERROR(__xludf.DUMMYFUNCTION("""COMPUTED_VALUE"""),"LIMA")</f>
        <v>LIMA</v>
      </c>
      <c r="F1434" s="25" t="str">
        <f ca="1">IFERROR(__xludf.DUMMYFUNCTION("""COMPUTED_VALUE"""),"LIMA")</f>
        <v>LIMA</v>
      </c>
      <c r="G1434" s="25" t="str">
        <f ca="1">IFERROR(__xludf.DUMMYFUNCTION("""COMPUTED_VALUE"""),"LURIN")</f>
        <v>LURIN</v>
      </c>
      <c r="H1434" s="25" t="str">
        <f ca="1">IFERROR(__xludf.DUMMYFUNCTION("""COMPUTED_VALUE"""),"URBANO")</f>
        <v>URBANO</v>
      </c>
      <c r="I1434" s="25" t="str">
        <f ca="1">IFERROR(__xludf.DUMMYFUNCTION("""COMPUTED_VALUE"""),"Prioridad 2")</f>
        <v>Prioridad 2</v>
      </c>
      <c r="J1434" s="45"/>
    </row>
    <row r="1435" spans="2:10" ht="15.75" customHeight="1">
      <c r="B1435" s="25" t="str">
        <f ca="1">IFERROR(__xludf.DUMMYFUNCTION("""COMPUTED_VALUE"""),"MUNICIPALIDAD DISTRITAL")</f>
        <v>MUNICIPALIDAD DISTRITAL</v>
      </c>
      <c r="C1435" s="25" t="str">
        <f ca="1">IFERROR(__xludf.DUMMYFUNCTION("""COMPUTED_VALUE"""),"MUNICIPALIDAD DISTRITAL DE MAGDALENA DEL MAR")</f>
        <v>MUNICIPALIDAD DISTRITAL DE MAGDALENA DEL MAR</v>
      </c>
      <c r="D1435" s="25" t="str">
        <f ca="1">IFERROR(__xludf.DUMMYFUNCTION("""COMPUTED_VALUE"""),"SEDE CENTRAL")</f>
        <v>SEDE CENTRAL</v>
      </c>
      <c r="E1435" s="25" t="str">
        <f ca="1">IFERROR(__xludf.DUMMYFUNCTION("""COMPUTED_VALUE"""),"LIMA")</f>
        <v>LIMA</v>
      </c>
      <c r="F1435" s="25" t="str">
        <f ca="1">IFERROR(__xludf.DUMMYFUNCTION("""COMPUTED_VALUE"""),"LIMA")</f>
        <v>LIMA</v>
      </c>
      <c r="G1435" s="25" t="str">
        <f ca="1">IFERROR(__xludf.DUMMYFUNCTION("""COMPUTED_VALUE"""),"MAGDALENA DEL MAR")</f>
        <v>MAGDALENA DEL MAR</v>
      </c>
      <c r="H1435" s="25" t="str">
        <f ca="1">IFERROR(__xludf.DUMMYFUNCTION("""COMPUTED_VALUE"""),"URBANO")</f>
        <v>URBANO</v>
      </c>
      <c r="I1435" s="25" t="str">
        <f ca="1">IFERROR(__xludf.DUMMYFUNCTION("""COMPUTED_VALUE"""),"Prioridad 3")</f>
        <v>Prioridad 3</v>
      </c>
      <c r="J1435" s="45"/>
    </row>
    <row r="1436" spans="2:10" ht="15.75" customHeight="1">
      <c r="B1436" s="25" t="str">
        <f ca="1">IFERROR(__xludf.DUMMYFUNCTION("""COMPUTED_VALUE"""),"MUNICIPALIDAD DISTRITAL")</f>
        <v>MUNICIPALIDAD DISTRITAL</v>
      </c>
      <c r="C1436" s="25" t="str">
        <f ca="1">IFERROR(__xludf.DUMMYFUNCTION("""COMPUTED_VALUE"""),"MUNICIPALIDAD DISTRITAL DE MIRAFLORES EN LIMA")</f>
        <v>MUNICIPALIDAD DISTRITAL DE MIRAFLORES EN LIMA</v>
      </c>
      <c r="D1436" s="25" t="str">
        <f ca="1">IFERROR(__xludf.DUMMYFUNCTION("""COMPUTED_VALUE"""),"SEDE CENTRAL")</f>
        <v>SEDE CENTRAL</v>
      </c>
      <c r="E1436" s="25" t="str">
        <f ca="1">IFERROR(__xludf.DUMMYFUNCTION("""COMPUTED_VALUE"""),"LIMA")</f>
        <v>LIMA</v>
      </c>
      <c r="F1436" s="25" t="str">
        <f ca="1">IFERROR(__xludf.DUMMYFUNCTION("""COMPUTED_VALUE"""),"LIMA")</f>
        <v>LIMA</v>
      </c>
      <c r="G1436" s="25" t="str">
        <f ca="1">IFERROR(__xludf.DUMMYFUNCTION("""COMPUTED_VALUE"""),"MIRAFLORES")</f>
        <v>MIRAFLORES</v>
      </c>
      <c r="H1436" s="25" t="str">
        <f ca="1">IFERROR(__xludf.DUMMYFUNCTION("""COMPUTED_VALUE"""),"URBANO")</f>
        <v>URBANO</v>
      </c>
      <c r="I1436" s="25" t="str">
        <f ca="1">IFERROR(__xludf.DUMMYFUNCTION("""COMPUTED_VALUE"""),"Prioridad 3")</f>
        <v>Prioridad 3</v>
      </c>
      <c r="J1436" s="45"/>
    </row>
    <row r="1437" spans="2:10" ht="15.75" customHeight="1">
      <c r="B1437" s="25" t="str">
        <f ca="1">IFERROR(__xludf.DUMMYFUNCTION("""COMPUTED_VALUE"""),"MUNICIPALIDAD DISTRITAL")</f>
        <v>MUNICIPALIDAD DISTRITAL</v>
      </c>
      <c r="C1437" s="25" t="str">
        <f ca="1">IFERROR(__xludf.DUMMYFUNCTION("""COMPUTED_VALUE"""),"MUNICIPALIDAD DISTRITAL DE PACHACAMAC")</f>
        <v>MUNICIPALIDAD DISTRITAL DE PACHACAMAC</v>
      </c>
      <c r="D1437" s="25" t="str">
        <f ca="1">IFERROR(__xludf.DUMMYFUNCTION("""COMPUTED_VALUE"""),"SEDE CENTRAL")</f>
        <v>SEDE CENTRAL</v>
      </c>
      <c r="E1437" s="25" t="str">
        <f ca="1">IFERROR(__xludf.DUMMYFUNCTION("""COMPUTED_VALUE"""),"LIMA")</f>
        <v>LIMA</v>
      </c>
      <c r="F1437" s="25" t="str">
        <f ca="1">IFERROR(__xludf.DUMMYFUNCTION("""COMPUTED_VALUE"""),"LIMA")</f>
        <v>LIMA</v>
      </c>
      <c r="G1437" s="25" t="str">
        <f ca="1">IFERROR(__xludf.DUMMYFUNCTION("""COMPUTED_VALUE"""),"PACHACAMAC")</f>
        <v>PACHACAMAC</v>
      </c>
      <c r="H1437" s="25" t="str">
        <f ca="1">IFERROR(__xludf.DUMMYFUNCTION("""COMPUTED_VALUE"""),"URBANO")</f>
        <v>URBANO</v>
      </c>
      <c r="I1437" s="25" t="str">
        <f ca="1">IFERROR(__xludf.DUMMYFUNCTION("""COMPUTED_VALUE"""),"Prioridad 3")</f>
        <v>Prioridad 3</v>
      </c>
      <c r="J1437" s="45"/>
    </row>
    <row r="1438" spans="2:10" ht="15.75" customHeight="1">
      <c r="B1438" s="25" t="str">
        <f ca="1">IFERROR(__xludf.DUMMYFUNCTION("""COMPUTED_VALUE"""),"MUNICIPALIDAD DISTRITAL")</f>
        <v>MUNICIPALIDAD DISTRITAL</v>
      </c>
      <c r="C1438" s="25" t="str">
        <f ca="1">IFERROR(__xludf.DUMMYFUNCTION("""COMPUTED_VALUE"""),"MUNICIPALIDAD DISTRITAL DE PUCUSANA")</f>
        <v>MUNICIPALIDAD DISTRITAL DE PUCUSANA</v>
      </c>
      <c r="D1438" s="25" t="str">
        <f ca="1">IFERROR(__xludf.DUMMYFUNCTION("""COMPUTED_VALUE"""),"SEDE CENTRAL")</f>
        <v>SEDE CENTRAL</v>
      </c>
      <c r="E1438" s="25" t="str">
        <f ca="1">IFERROR(__xludf.DUMMYFUNCTION("""COMPUTED_VALUE"""),"LIMA")</f>
        <v>LIMA</v>
      </c>
      <c r="F1438" s="25" t="str">
        <f ca="1">IFERROR(__xludf.DUMMYFUNCTION("""COMPUTED_VALUE"""),"LIMA")</f>
        <v>LIMA</v>
      </c>
      <c r="G1438" s="25" t="str">
        <f ca="1">IFERROR(__xludf.DUMMYFUNCTION("""COMPUTED_VALUE"""),"PUCUSANA")</f>
        <v>PUCUSANA</v>
      </c>
      <c r="H1438" s="25" t="str">
        <f ca="1">IFERROR(__xludf.DUMMYFUNCTION("""COMPUTED_VALUE"""),"URBANO")</f>
        <v>URBANO</v>
      </c>
      <c r="I1438" s="25" t="str">
        <f ca="1">IFERROR(__xludf.DUMMYFUNCTION("""COMPUTED_VALUE"""),"Prioridad 3")</f>
        <v>Prioridad 3</v>
      </c>
      <c r="J1438" s="45"/>
    </row>
    <row r="1439" spans="2:10" ht="15.75" customHeight="1">
      <c r="B1439" s="25" t="str">
        <f ca="1">IFERROR(__xludf.DUMMYFUNCTION("""COMPUTED_VALUE"""),"MUNICIPALIDAD DISTRITAL")</f>
        <v>MUNICIPALIDAD DISTRITAL</v>
      </c>
      <c r="C1439" s="25" t="str">
        <f ca="1">IFERROR(__xludf.DUMMYFUNCTION("""COMPUTED_VALUE"""),"MUNICIPALIDAD DISTRITAL DE PUEBLO LIBRE EN LIMA")</f>
        <v>MUNICIPALIDAD DISTRITAL DE PUEBLO LIBRE EN LIMA</v>
      </c>
      <c r="D1439" s="25" t="str">
        <f ca="1">IFERROR(__xludf.DUMMYFUNCTION("""COMPUTED_VALUE"""),"SEDE CENTRAL")</f>
        <v>SEDE CENTRAL</v>
      </c>
      <c r="E1439" s="25" t="str">
        <f ca="1">IFERROR(__xludf.DUMMYFUNCTION("""COMPUTED_VALUE"""),"LIMA")</f>
        <v>LIMA</v>
      </c>
      <c r="F1439" s="25" t="str">
        <f ca="1">IFERROR(__xludf.DUMMYFUNCTION("""COMPUTED_VALUE"""),"LIMA")</f>
        <v>LIMA</v>
      </c>
      <c r="G1439" s="25" t="str">
        <f ca="1">IFERROR(__xludf.DUMMYFUNCTION("""COMPUTED_VALUE"""),"PUEBLO LIBRE")</f>
        <v>PUEBLO LIBRE</v>
      </c>
      <c r="H1439" s="25" t="str">
        <f ca="1">IFERROR(__xludf.DUMMYFUNCTION("""COMPUTED_VALUE"""),"URBANO")</f>
        <v>URBANO</v>
      </c>
      <c r="I1439" s="25" t="str">
        <f ca="1">IFERROR(__xludf.DUMMYFUNCTION("""COMPUTED_VALUE"""),"Prioridad 3")</f>
        <v>Prioridad 3</v>
      </c>
      <c r="J1439" s="45"/>
    </row>
    <row r="1440" spans="2:10" ht="15.75" customHeight="1">
      <c r="B1440" s="25" t="str">
        <f ca="1">IFERROR(__xludf.DUMMYFUNCTION("""COMPUTED_VALUE"""),"MUNICIPALIDAD DISTRITAL")</f>
        <v>MUNICIPALIDAD DISTRITAL</v>
      </c>
      <c r="C1440" s="25" t="str">
        <f ca="1">IFERROR(__xludf.DUMMYFUNCTION("""COMPUTED_VALUE"""),"MUNICIPALIDAD DISTRITAL DE PUENTE PIEDRA")</f>
        <v>MUNICIPALIDAD DISTRITAL DE PUENTE PIEDRA</v>
      </c>
      <c r="D1440" s="25" t="str">
        <f ca="1">IFERROR(__xludf.DUMMYFUNCTION("""COMPUTED_VALUE"""),"SEDE CENTRAL")</f>
        <v>SEDE CENTRAL</v>
      </c>
      <c r="E1440" s="25" t="str">
        <f ca="1">IFERROR(__xludf.DUMMYFUNCTION("""COMPUTED_VALUE"""),"LIMA")</f>
        <v>LIMA</v>
      </c>
      <c r="F1440" s="25" t="str">
        <f ca="1">IFERROR(__xludf.DUMMYFUNCTION("""COMPUTED_VALUE"""),"LIMA")</f>
        <v>LIMA</v>
      </c>
      <c r="G1440" s="25" t="str">
        <f ca="1">IFERROR(__xludf.DUMMYFUNCTION("""COMPUTED_VALUE"""),"PUENTE PIEDRA")</f>
        <v>PUENTE PIEDRA</v>
      </c>
      <c r="H1440" s="25" t="str">
        <f ca="1">IFERROR(__xludf.DUMMYFUNCTION("""COMPUTED_VALUE"""),"URBANO")</f>
        <v>URBANO</v>
      </c>
      <c r="I1440" s="25" t="str">
        <f ca="1">IFERROR(__xludf.DUMMYFUNCTION("""COMPUTED_VALUE"""),"Prioridad 2")</f>
        <v>Prioridad 2</v>
      </c>
      <c r="J1440" s="45"/>
    </row>
    <row r="1441" spans="2:10" ht="15.75" customHeight="1">
      <c r="B1441" s="25" t="str">
        <f ca="1">IFERROR(__xludf.DUMMYFUNCTION("""COMPUTED_VALUE"""),"MUNICIPALIDAD DISTRITAL")</f>
        <v>MUNICIPALIDAD DISTRITAL</v>
      </c>
      <c r="C1441" s="25" t="str">
        <f ca="1">IFERROR(__xludf.DUMMYFUNCTION("""COMPUTED_VALUE"""),"MUNICIPALIDAD DISTRITAL DE PUNTA HERMOSA")</f>
        <v>MUNICIPALIDAD DISTRITAL DE PUNTA HERMOSA</v>
      </c>
      <c r="D1441" s="25" t="str">
        <f ca="1">IFERROR(__xludf.DUMMYFUNCTION("""COMPUTED_VALUE"""),"SEDE CENTRAL")</f>
        <v>SEDE CENTRAL</v>
      </c>
      <c r="E1441" s="25" t="str">
        <f ca="1">IFERROR(__xludf.DUMMYFUNCTION("""COMPUTED_VALUE"""),"LIMA")</f>
        <v>LIMA</v>
      </c>
      <c r="F1441" s="25" t="str">
        <f ca="1">IFERROR(__xludf.DUMMYFUNCTION("""COMPUTED_VALUE"""),"LIMA")</f>
        <v>LIMA</v>
      </c>
      <c r="G1441" s="25" t="str">
        <f ca="1">IFERROR(__xludf.DUMMYFUNCTION("""COMPUTED_VALUE"""),"PUNTA HERMOSA")</f>
        <v>PUNTA HERMOSA</v>
      </c>
      <c r="H1441" s="25" t="str">
        <f ca="1">IFERROR(__xludf.DUMMYFUNCTION("""COMPUTED_VALUE"""),"URBANO")</f>
        <v>URBANO</v>
      </c>
      <c r="I1441" s="25" t="str">
        <f ca="1">IFERROR(__xludf.DUMMYFUNCTION("""COMPUTED_VALUE"""),"Prioridad 2")</f>
        <v>Prioridad 2</v>
      </c>
      <c r="J1441" s="45"/>
    </row>
    <row r="1442" spans="2:10" ht="15.75" customHeight="1">
      <c r="B1442" s="25" t="str">
        <f ca="1">IFERROR(__xludf.DUMMYFUNCTION("""COMPUTED_VALUE"""),"MUNICIPALIDAD DISTRITAL")</f>
        <v>MUNICIPALIDAD DISTRITAL</v>
      </c>
      <c r="C1442" s="25" t="str">
        <f ca="1">IFERROR(__xludf.DUMMYFUNCTION("""COMPUTED_VALUE"""),"MUNICIPALIDAD DISTRITAL DE PUNTA NEGRA")</f>
        <v>MUNICIPALIDAD DISTRITAL DE PUNTA NEGRA</v>
      </c>
      <c r="D1442" s="25" t="str">
        <f ca="1">IFERROR(__xludf.DUMMYFUNCTION("""COMPUTED_VALUE"""),"SEDE CENTRAL")</f>
        <v>SEDE CENTRAL</v>
      </c>
      <c r="E1442" s="25" t="str">
        <f ca="1">IFERROR(__xludf.DUMMYFUNCTION("""COMPUTED_VALUE"""),"LIMA")</f>
        <v>LIMA</v>
      </c>
      <c r="F1442" s="25" t="str">
        <f ca="1">IFERROR(__xludf.DUMMYFUNCTION("""COMPUTED_VALUE"""),"LIMA")</f>
        <v>LIMA</v>
      </c>
      <c r="G1442" s="25" t="str">
        <f ca="1">IFERROR(__xludf.DUMMYFUNCTION("""COMPUTED_VALUE"""),"PUNTA NEGRA")</f>
        <v>PUNTA NEGRA</v>
      </c>
      <c r="H1442" s="25" t="str">
        <f ca="1">IFERROR(__xludf.DUMMYFUNCTION("""COMPUTED_VALUE"""),"URBANO")</f>
        <v>URBANO</v>
      </c>
      <c r="I1442" s="25" t="str">
        <f ca="1">IFERROR(__xludf.DUMMYFUNCTION("""COMPUTED_VALUE"""),"Prioridad 2")</f>
        <v>Prioridad 2</v>
      </c>
      <c r="J1442" s="45"/>
    </row>
    <row r="1443" spans="2:10" ht="15.75" customHeight="1">
      <c r="B1443" s="25" t="str">
        <f ca="1">IFERROR(__xludf.DUMMYFUNCTION("""COMPUTED_VALUE"""),"MUNICIPALIDAD DISTRITAL")</f>
        <v>MUNICIPALIDAD DISTRITAL</v>
      </c>
      <c r="C1443" s="25" t="str">
        <f ca="1">IFERROR(__xludf.DUMMYFUNCTION("""COMPUTED_VALUE"""),"MUNICIPALIDAD DISTRITAL DE RIMAC")</f>
        <v>MUNICIPALIDAD DISTRITAL DE RIMAC</v>
      </c>
      <c r="D1443" s="25" t="str">
        <f ca="1">IFERROR(__xludf.DUMMYFUNCTION("""COMPUTED_VALUE"""),"SEDE CENTRAL")</f>
        <v>SEDE CENTRAL</v>
      </c>
      <c r="E1443" s="25" t="str">
        <f ca="1">IFERROR(__xludf.DUMMYFUNCTION("""COMPUTED_VALUE"""),"LIMA")</f>
        <v>LIMA</v>
      </c>
      <c r="F1443" s="25" t="str">
        <f ca="1">IFERROR(__xludf.DUMMYFUNCTION("""COMPUTED_VALUE"""),"LIMA")</f>
        <v>LIMA</v>
      </c>
      <c r="G1443" s="25" t="str">
        <f ca="1">IFERROR(__xludf.DUMMYFUNCTION("""COMPUTED_VALUE"""),"RIMAC")</f>
        <v>RIMAC</v>
      </c>
      <c r="H1443" s="25" t="str">
        <f ca="1">IFERROR(__xludf.DUMMYFUNCTION("""COMPUTED_VALUE"""),"URBANO")</f>
        <v>URBANO</v>
      </c>
      <c r="I1443" s="25" t="str">
        <f ca="1">IFERROR(__xludf.DUMMYFUNCTION("""COMPUTED_VALUE"""),"Prioridad 2")</f>
        <v>Prioridad 2</v>
      </c>
      <c r="J1443" s="45"/>
    </row>
    <row r="1444" spans="2:10" ht="15.75" customHeight="1">
      <c r="B1444" s="25" t="str">
        <f ca="1">IFERROR(__xludf.DUMMYFUNCTION("""COMPUTED_VALUE"""),"MUNICIPALIDAD DISTRITAL")</f>
        <v>MUNICIPALIDAD DISTRITAL</v>
      </c>
      <c r="C1444" s="25" t="str">
        <f ca="1">IFERROR(__xludf.DUMMYFUNCTION("""COMPUTED_VALUE"""),"MUNICIPALIDAD DISTRITAL DE SAN BARTOLO")</f>
        <v>MUNICIPALIDAD DISTRITAL DE SAN BARTOLO</v>
      </c>
      <c r="D1444" s="25" t="str">
        <f ca="1">IFERROR(__xludf.DUMMYFUNCTION("""COMPUTED_VALUE"""),"SEDE CENTRAL")</f>
        <v>SEDE CENTRAL</v>
      </c>
      <c r="E1444" s="25" t="str">
        <f ca="1">IFERROR(__xludf.DUMMYFUNCTION("""COMPUTED_VALUE"""),"LIMA")</f>
        <v>LIMA</v>
      </c>
      <c r="F1444" s="25" t="str">
        <f ca="1">IFERROR(__xludf.DUMMYFUNCTION("""COMPUTED_VALUE"""),"LIMA")</f>
        <v>LIMA</v>
      </c>
      <c r="G1444" s="25" t="str">
        <f ca="1">IFERROR(__xludf.DUMMYFUNCTION("""COMPUTED_VALUE"""),"SAN BARTOLO")</f>
        <v>SAN BARTOLO</v>
      </c>
      <c r="H1444" s="25" t="str">
        <f ca="1">IFERROR(__xludf.DUMMYFUNCTION("""COMPUTED_VALUE"""),"URBANO")</f>
        <v>URBANO</v>
      </c>
      <c r="I1444" s="25" t="str">
        <f ca="1">IFERROR(__xludf.DUMMYFUNCTION("""COMPUTED_VALUE"""),"Prioridad 2")</f>
        <v>Prioridad 2</v>
      </c>
      <c r="J1444" s="45"/>
    </row>
    <row r="1445" spans="2:10" ht="15.75" customHeight="1">
      <c r="B1445" s="25" t="str">
        <f ca="1">IFERROR(__xludf.DUMMYFUNCTION("""COMPUTED_VALUE"""),"MUNICIPALIDAD DISTRITAL")</f>
        <v>MUNICIPALIDAD DISTRITAL</v>
      </c>
      <c r="C1445" s="25" t="str">
        <f ca="1">IFERROR(__xludf.DUMMYFUNCTION("""COMPUTED_VALUE"""),"MUNICIPALIDAD DISTRITAL DE SAN BORJA")</f>
        <v>MUNICIPALIDAD DISTRITAL DE SAN BORJA</v>
      </c>
      <c r="D1445" s="25" t="str">
        <f ca="1">IFERROR(__xludf.DUMMYFUNCTION("""COMPUTED_VALUE"""),"SEDE CENTRAL")</f>
        <v>SEDE CENTRAL</v>
      </c>
      <c r="E1445" s="25" t="str">
        <f ca="1">IFERROR(__xludf.DUMMYFUNCTION("""COMPUTED_VALUE"""),"LIMA")</f>
        <v>LIMA</v>
      </c>
      <c r="F1445" s="25" t="str">
        <f ca="1">IFERROR(__xludf.DUMMYFUNCTION("""COMPUTED_VALUE"""),"LIMA")</f>
        <v>LIMA</v>
      </c>
      <c r="G1445" s="25" t="str">
        <f ca="1">IFERROR(__xludf.DUMMYFUNCTION("""COMPUTED_VALUE"""),"SAN BORJA")</f>
        <v>SAN BORJA</v>
      </c>
      <c r="H1445" s="25" t="str">
        <f ca="1">IFERROR(__xludf.DUMMYFUNCTION("""COMPUTED_VALUE"""),"URBANO")</f>
        <v>URBANO</v>
      </c>
      <c r="I1445" s="25" t="str">
        <f ca="1">IFERROR(__xludf.DUMMYFUNCTION("""COMPUTED_VALUE"""),"Prioridad 3")</f>
        <v>Prioridad 3</v>
      </c>
      <c r="J1445" s="45"/>
    </row>
    <row r="1446" spans="2:10" ht="15.75" customHeight="1">
      <c r="B1446" s="25" t="str">
        <f ca="1">IFERROR(__xludf.DUMMYFUNCTION("""COMPUTED_VALUE"""),"MUNICIPALIDAD DISTRITAL")</f>
        <v>MUNICIPALIDAD DISTRITAL</v>
      </c>
      <c r="C1446" s="25" t="str">
        <f ca="1">IFERROR(__xludf.DUMMYFUNCTION("""COMPUTED_VALUE"""),"MUNICIPALIDAD DISTRITAL DE SAN ISIDRO EN LIMA")</f>
        <v>MUNICIPALIDAD DISTRITAL DE SAN ISIDRO EN LIMA</v>
      </c>
      <c r="D1446" s="25" t="str">
        <f ca="1">IFERROR(__xludf.DUMMYFUNCTION("""COMPUTED_VALUE"""),"SEDE CENTRAL")</f>
        <v>SEDE CENTRAL</v>
      </c>
      <c r="E1446" s="25" t="str">
        <f ca="1">IFERROR(__xludf.DUMMYFUNCTION("""COMPUTED_VALUE"""),"LIMA")</f>
        <v>LIMA</v>
      </c>
      <c r="F1446" s="25" t="str">
        <f ca="1">IFERROR(__xludf.DUMMYFUNCTION("""COMPUTED_VALUE"""),"LIMA")</f>
        <v>LIMA</v>
      </c>
      <c r="G1446" s="25" t="str">
        <f ca="1">IFERROR(__xludf.DUMMYFUNCTION("""COMPUTED_VALUE"""),"SAN ISIDRO")</f>
        <v>SAN ISIDRO</v>
      </c>
      <c r="H1446" s="25" t="str">
        <f ca="1">IFERROR(__xludf.DUMMYFUNCTION("""COMPUTED_VALUE"""),"URBANO")</f>
        <v>URBANO</v>
      </c>
      <c r="I1446" s="25" t="str">
        <f ca="1">IFERROR(__xludf.DUMMYFUNCTION("""COMPUTED_VALUE"""),"Prioridad 3")</f>
        <v>Prioridad 3</v>
      </c>
      <c r="J1446" s="45"/>
    </row>
    <row r="1447" spans="2:10" ht="15.75" customHeight="1">
      <c r="B1447" s="25" t="str">
        <f ca="1">IFERROR(__xludf.DUMMYFUNCTION("""COMPUTED_VALUE"""),"MUNICIPALIDAD DISTRITAL")</f>
        <v>MUNICIPALIDAD DISTRITAL</v>
      </c>
      <c r="C1447" s="25" t="str">
        <f ca="1">IFERROR(__xludf.DUMMYFUNCTION("""COMPUTED_VALUE"""),"MUNICIPALIDAD DISTRITAL DE SAN JUAN DE LURIGANCHO")</f>
        <v>MUNICIPALIDAD DISTRITAL DE SAN JUAN DE LURIGANCHO</v>
      </c>
      <c r="D1447" s="25" t="str">
        <f ca="1">IFERROR(__xludf.DUMMYFUNCTION("""COMPUTED_VALUE"""),"SEDE CENTRAL")</f>
        <v>SEDE CENTRAL</v>
      </c>
      <c r="E1447" s="25" t="str">
        <f ca="1">IFERROR(__xludf.DUMMYFUNCTION("""COMPUTED_VALUE"""),"LIMA")</f>
        <v>LIMA</v>
      </c>
      <c r="F1447" s="25" t="str">
        <f ca="1">IFERROR(__xludf.DUMMYFUNCTION("""COMPUTED_VALUE"""),"LIMA")</f>
        <v>LIMA</v>
      </c>
      <c r="G1447" s="25" t="str">
        <f ca="1">IFERROR(__xludf.DUMMYFUNCTION("""COMPUTED_VALUE"""),"SAN JUAN DE LURIGANCHO")</f>
        <v>SAN JUAN DE LURIGANCHO</v>
      </c>
      <c r="H1447" s="25" t="str">
        <f ca="1">IFERROR(__xludf.DUMMYFUNCTION("""COMPUTED_VALUE"""),"URBANO")</f>
        <v>URBANO</v>
      </c>
      <c r="I1447" s="25" t="str">
        <f ca="1">IFERROR(__xludf.DUMMYFUNCTION("""COMPUTED_VALUE"""),"Prioridad 2")</f>
        <v>Prioridad 2</v>
      </c>
      <c r="J1447" s="45"/>
    </row>
    <row r="1448" spans="2:10" ht="15.75" customHeight="1">
      <c r="B1448" s="25" t="str">
        <f ca="1">IFERROR(__xludf.DUMMYFUNCTION("""COMPUTED_VALUE"""),"MUNICIPALIDAD DISTRITAL")</f>
        <v>MUNICIPALIDAD DISTRITAL</v>
      </c>
      <c r="C1448" s="25" t="str">
        <f ca="1">IFERROR(__xludf.DUMMYFUNCTION("""COMPUTED_VALUE"""),"MUNICIPALIDAD DISTRITAL DE SAN JUAN DE MIRAFLORES")</f>
        <v>MUNICIPALIDAD DISTRITAL DE SAN JUAN DE MIRAFLORES</v>
      </c>
      <c r="D1448" s="25" t="str">
        <f ca="1">IFERROR(__xludf.DUMMYFUNCTION("""COMPUTED_VALUE"""),"SEDE CENTRAL")</f>
        <v>SEDE CENTRAL</v>
      </c>
      <c r="E1448" s="25" t="str">
        <f ca="1">IFERROR(__xludf.DUMMYFUNCTION("""COMPUTED_VALUE"""),"LIMA")</f>
        <v>LIMA</v>
      </c>
      <c r="F1448" s="25" t="str">
        <f ca="1">IFERROR(__xludf.DUMMYFUNCTION("""COMPUTED_VALUE"""),"LIMA")</f>
        <v>LIMA</v>
      </c>
      <c r="G1448" s="25" t="str">
        <f ca="1">IFERROR(__xludf.DUMMYFUNCTION("""COMPUTED_VALUE"""),"SAN JUAN DE MIRAFLORES")</f>
        <v>SAN JUAN DE MIRAFLORES</v>
      </c>
      <c r="H1448" s="25" t="str">
        <f ca="1">IFERROR(__xludf.DUMMYFUNCTION("""COMPUTED_VALUE"""),"URBANO")</f>
        <v>URBANO</v>
      </c>
      <c r="I1448" s="25" t="str">
        <f ca="1">IFERROR(__xludf.DUMMYFUNCTION("""COMPUTED_VALUE"""),"Prioridad 2")</f>
        <v>Prioridad 2</v>
      </c>
      <c r="J1448" s="45"/>
    </row>
    <row r="1449" spans="2:10" ht="15.75" customHeight="1">
      <c r="B1449" s="25" t="str">
        <f ca="1">IFERROR(__xludf.DUMMYFUNCTION("""COMPUTED_VALUE"""),"MUNICIPALIDAD DISTRITAL")</f>
        <v>MUNICIPALIDAD DISTRITAL</v>
      </c>
      <c r="C1449" s="25" t="str">
        <f ca="1">IFERROR(__xludf.DUMMYFUNCTION("""COMPUTED_VALUE"""),"MUNICIPALIDAD DISTRITAL DE SAN LUIS EN LIMA")</f>
        <v>MUNICIPALIDAD DISTRITAL DE SAN LUIS EN LIMA</v>
      </c>
      <c r="D1449" s="25" t="str">
        <f ca="1">IFERROR(__xludf.DUMMYFUNCTION("""COMPUTED_VALUE"""),"SEDE CENTRAL")</f>
        <v>SEDE CENTRAL</v>
      </c>
      <c r="E1449" s="25" t="str">
        <f ca="1">IFERROR(__xludf.DUMMYFUNCTION("""COMPUTED_VALUE"""),"LIMA")</f>
        <v>LIMA</v>
      </c>
      <c r="F1449" s="25" t="str">
        <f ca="1">IFERROR(__xludf.DUMMYFUNCTION("""COMPUTED_VALUE"""),"LIMA")</f>
        <v>LIMA</v>
      </c>
      <c r="G1449" s="25" t="str">
        <f ca="1">IFERROR(__xludf.DUMMYFUNCTION("""COMPUTED_VALUE"""),"SAN LUIS")</f>
        <v>SAN LUIS</v>
      </c>
      <c r="H1449" s="25" t="str">
        <f ca="1">IFERROR(__xludf.DUMMYFUNCTION("""COMPUTED_VALUE"""),"URBANO")</f>
        <v>URBANO</v>
      </c>
      <c r="I1449" s="25" t="str">
        <f ca="1">IFERROR(__xludf.DUMMYFUNCTION("""COMPUTED_VALUE"""),"Prioridad 3")</f>
        <v>Prioridad 3</v>
      </c>
      <c r="J1449" s="45"/>
    </row>
    <row r="1450" spans="2:10" ht="15.75" customHeight="1">
      <c r="B1450" s="25" t="str">
        <f ca="1">IFERROR(__xludf.DUMMYFUNCTION("""COMPUTED_VALUE"""),"MUNICIPALIDAD DISTRITAL")</f>
        <v>MUNICIPALIDAD DISTRITAL</v>
      </c>
      <c r="C1450" s="25" t="str">
        <f ca="1">IFERROR(__xludf.DUMMYFUNCTION("""COMPUTED_VALUE"""),"MUNICIPALIDAD DISTRITAL DE SAN MARTIN DE PORRES")</f>
        <v>MUNICIPALIDAD DISTRITAL DE SAN MARTIN DE PORRES</v>
      </c>
      <c r="D1450" s="25" t="str">
        <f ca="1">IFERROR(__xludf.DUMMYFUNCTION("""COMPUTED_VALUE"""),"SEDE CENTRAL")</f>
        <v>SEDE CENTRAL</v>
      </c>
      <c r="E1450" s="25" t="str">
        <f ca="1">IFERROR(__xludf.DUMMYFUNCTION("""COMPUTED_VALUE"""),"LIMA")</f>
        <v>LIMA</v>
      </c>
      <c r="F1450" s="25" t="str">
        <f ca="1">IFERROR(__xludf.DUMMYFUNCTION("""COMPUTED_VALUE"""),"LIMA")</f>
        <v>LIMA</v>
      </c>
      <c r="G1450" s="25" t="str">
        <f ca="1">IFERROR(__xludf.DUMMYFUNCTION("""COMPUTED_VALUE"""),"SAN MARTIN DE PORRES")</f>
        <v>SAN MARTIN DE PORRES</v>
      </c>
      <c r="H1450" s="25" t="str">
        <f ca="1">IFERROR(__xludf.DUMMYFUNCTION("""COMPUTED_VALUE"""),"URBANO")</f>
        <v>URBANO</v>
      </c>
      <c r="I1450" s="25" t="str">
        <f ca="1">IFERROR(__xludf.DUMMYFUNCTION("""COMPUTED_VALUE"""),"Prioridad 2")</f>
        <v>Prioridad 2</v>
      </c>
      <c r="J1450" s="45"/>
    </row>
    <row r="1451" spans="2:10" ht="15.75" customHeight="1">
      <c r="B1451" s="25" t="str">
        <f ca="1">IFERROR(__xludf.DUMMYFUNCTION("""COMPUTED_VALUE"""),"MUNICIPALIDAD DISTRITAL")</f>
        <v>MUNICIPALIDAD DISTRITAL</v>
      </c>
      <c r="C1451" s="25" t="str">
        <f ca="1">IFERROR(__xludf.DUMMYFUNCTION("""COMPUTED_VALUE"""),"MUNICIPALIDAD DISTRITAL DE SAN MIGUEL EN LIMA")</f>
        <v>MUNICIPALIDAD DISTRITAL DE SAN MIGUEL EN LIMA</v>
      </c>
      <c r="D1451" s="25" t="str">
        <f ca="1">IFERROR(__xludf.DUMMYFUNCTION("""COMPUTED_VALUE"""),"SEDE CENTRAL")</f>
        <v>SEDE CENTRAL</v>
      </c>
      <c r="E1451" s="25" t="str">
        <f ca="1">IFERROR(__xludf.DUMMYFUNCTION("""COMPUTED_VALUE"""),"LIMA")</f>
        <v>LIMA</v>
      </c>
      <c r="F1451" s="25" t="str">
        <f ca="1">IFERROR(__xludf.DUMMYFUNCTION("""COMPUTED_VALUE"""),"LIMA")</f>
        <v>LIMA</v>
      </c>
      <c r="G1451" s="25" t="str">
        <f ca="1">IFERROR(__xludf.DUMMYFUNCTION("""COMPUTED_VALUE"""),"SAN MIGUEL")</f>
        <v>SAN MIGUEL</v>
      </c>
      <c r="H1451" s="25" t="str">
        <f ca="1">IFERROR(__xludf.DUMMYFUNCTION("""COMPUTED_VALUE"""),"URBANO")</f>
        <v>URBANO</v>
      </c>
      <c r="I1451" s="25" t="str">
        <f ca="1">IFERROR(__xludf.DUMMYFUNCTION("""COMPUTED_VALUE"""),"Prioridad 3")</f>
        <v>Prioridad 3</v>
      </c>
      <c r="J1451" s="45"/>
    </row>
    <row r="1452" spans="2:10" ht="15.75" customHeight="1">
      <c r="B1452" s="25" t="str">
        <f ca="1">IFERROR(__xludf.DUMMYFUNCTION("""COMPUTED_VALUE"""),"MUNICIPALIDAD DISTRITAL")</f>
        <v>MUNICIPALIDAD DISTRITAL</v>
      </c>
      <c r="C1452" s="25" t="str">
        <f ca="1">IFERROR(__xludf.DUMMYFUNCTION("""COMPUTED_VALUE"""),"MUNICIPALIDAD DISTRITAL DE SANTA ANITA")</f>
        <v>MUNICIPALIDAD DISTRITAL DE SANTA ANITA</v>
      </c>
      <c r="D1452" s="25" t="str">
        <f ca="1">IFERROR(__xludf.DUMMYFUNCTION("""COMPUTED_VALUE"""),"SEDE CENTRAL")</f>
        <v>SEDE CENTRAL</v>
      </c>
      <c r="E1452" s="25" t="str">
        <f ca="1">IFERROR(__xludf.DUMMYFUNCTION("""COMPUTED_VALUE"""),"LIMA")</f>
        <v>LIMA</v>
      </c>
      <c r="F1452" s="25" t="str">
        <f ca="1">IFERROR(__xludf.DUMMYFUNCTION("""COMPUTED_VALUE"""),"LIMA")</f>
        <v>LIMA</v>
      </c>
      <c r="G1452" s="25" t="str">
        <f ca="1">IFERROR(__xludf.DUMMYFUNCTION("""COMPUTED_VALUE"""),"SANTA ANITA")</f>
        <v>SANTA ANITA</v>
      </c>
      <c r="H1452" s="25" t="str">
        <f ca="1">IFERROR(__xludf.DUMMYFUNCTION("""COMPUTED_VALUE"""),"URBANO")</f>
        <v>URBANO</v>
      </c>
      <c r="I1452" s="25" t="str">
        <f ca="1">IFERROR(__xludf.DUMMYFUNCTION("""COMPUTED_VALUE"""),"Prioridad 2")</f>
        <v>Prioridad 2</v>
      </c>
      <c r="J1452" s="45"/>
    </row>
    <row r="1453" spans="2:10" ht="15.75" customHeight="1">
      <c r="B1453" s="25" t="str">
        <f ca="1">IFERROR(__xludf.DUMMYFUNCTION("""COMPUTED_VALUE"""),"MUNICIPALIDAD DISTRITAL")</f>
        <v>MUNICIPALIDAD DISTRITAL</v>
      </c>
      <c r="C1453" s="25" t="str">
        <f ca="1">IFERROR(__xludf.DUMMYFUNCTION("""COMPUTED_VALUE"""),"MUNICIPALIDAD DISTRITAL DE SANTA MARIA DEL MAR")</f>
        <v>MUNICIPALIDAD DISTRITAL DE SANTA MARIA DEL MAR</v>
      </c>
      <c r="D1453" s="25" t="str">
        <f ca="1">IFERROR(__xludf.DUMMYFUNCTION("""COMPUTED_VALUE"""),"SEDE CENTRAL")</f>
        <v>SEDE CENTRAL</v>
      </c>
      <c r="E1453" s="25" t="str">
        <f ca="1">IFERROR(__xludf.DUMMYFUNCTION("""COMPUTED_VALUE"""),"LIMA")</f>
        <v>LIMA</v>
      </c>
      <c r="F1453" s="25" t="str">
        <f ca="1">IFERROR(__xludf.DUMMYFUNCTION("""COMPUTED_VALUE"""),"LIMA")</f>
        <v>LIMA</v>
      </c>
      <c r="G1453" s="25" t="str">
        <f ca="1">IFERROR(__xludf.DUMMYFUNCTION("""COMPUTED_VALUE"""),"SANTA MARIA DEL MAR")</f>
        <v>SANTA MARIA DEL MAR</v>
      </c>
      <c r="H1453" s="25" t="str">
        <f ca="1">IFERROR(__xludf.DUMMYFUNCTION("""COMPUTED_VALUE"""),"URBANO")</f>
        <v>URBANO</v>
      </c>
      <c r="I1453" s="25" t="str">
        <f ca="1">IFERROR(__xludf.DUMMYFUNCTION("""COMPUTED_VALUE"""),"Prioridad 2")</f>
        <v>Prioridad 2</v>
      </c>
      <c r="J1453" s="45"/>
    </row>
    <row r="1454" spans="2:10" ht="15.75" customHeight="1">
      <c r="B1454" s="25" t="str">
        <f ca="1">IFERROR(__xludf.DUMMYFUNCTION("""COMPUTED_VALUE"""),"MUNICIPALIDAD DISTRITAL")</f>
        <v>MUNICIPALIDAD DISTRITAL</v>
      </c>
      <c r="C1454" s="25" t="str">
        <f ca="1">IFERROR(__xludf.DUMMYFUNCTION("""COMPUTED_VALUE"""),"MUNICIPALIDAD DISTRITAL DE SANTA ROSA EN LIMA")</f>
        <v>MUNICIPALIDAD DISTRITAL DE SANTA ROSA EN LIMA</v>
      </c>
      <c r="D1454" s="25" t="str">
        <f ca="1">IFERROR(__xludf.DUMMYFUNCTION("""COMPUTED_VALUE"""),"SEDE CENTRAL")</f>
        <v>SEDE CENTRAL</v>
      </c>
      <c r="E1454" s="25" t="str">
        <f ca="1">IFERROR(__xludf.DUMMYFUNCTION("""COMPUTED_VALUE"""),"LIMA")</f>
        <v>LIMA</v>
      </c>
      <c r="F1454" s="25" t="str">
        <f ca="1">IFERROR(__xludf.DUMMYFUNCTION("""COMPUTED_VALUE"""),"LIMA")</f>
        <v>LIMA</v>
      </c>
      <c r="G1454" s="25" t="str">
        <f ca="1">IFERROR(__xludf.DUMMYFUNCTION("""COMPUTED_VALUE"""),"SANTA ROSA")</f>
        <v>SANTA ROSA</v>
      </c>
      <c r="H1454" s="25" t="str">
        <f ca="1">IFERROR(__xludf.DUMMYFUNCTION("""COMPUTED_VALUE"""),"URBANO")</f>
        <v>URBANO</v>
      </c>
      <c r="I1454" s="25" t="str">
        <f ca="1">IFERROR(__xludf.DUMMYFUNCTION("""COMPUTED_VALUE"""),"Prioridad 3")</f>
        <v>Prioridad 3</v>
      </c>
      <c r="J1454" s="45"/>
    </row>
    <row r="1455" spans="2:10" ht="15.75" customHeight="1">
      <c r="B1455" s="25" t="str">
        <f ca="1">IFERROR(__xludf.DUMMYFUNCTION("""COMPUTED_VALUE"""),"MUNICIPALIDAD DISTRITAL")</f>
        <v>MUNICIPALIDAD DISTRITAL</v>
      </c>
      <c r="C1455" s="25" t="str">
        <f ca="1">IFERROR(__xludf.DUMMYFUNCTION("""COMPUTED_VALUE"""),"MUNICIPALIDAD DISTRITAL DE SANTIAGO DE SURCO")</f>
        <v>MUNICIPALIDAD DISTRITAL DE SANTIAGO DE SURCO</v>
      </c>
      <c r="D1455" s="25" t="str">
        <f ca="1">IFERROR(__xludf.DUMMYFUNCTION("""COMPUTED_VALUE"""),"SEDE CENTRAL")</f>
        <v>SEDE CENTRAL</v>
      </c>
      <c r="E1455" s="25" t="str">
        <f ca="1">IFERROR(__xludf.DUMMYFUNCTION("""COMPUTED_VALUE"""),"LIMA")</f>
        <v>LIMA</v>
      </c>
      <c r="F1455" s="25" t="str">
        <f ca="1">IFERROR(__xludf.DUMMYFUNCTION("""COMPUTED_VALUE"""),"LIMA")</f>
        <v>LIMA</v>
      </c>
      <c r="G1455" s="25" t="str">
        <f ca="1">IFERROR(__xludf.DUMMYFUNCTION("""COMPUTED_VALUE"""),"SANTIAGO DE SURCO")</f>
        <v>SANTIAGO DE SURCO</v>
      </c>
      <c r="H1455" s="25" t="str">
        <f ca="1">IFERROR(__xludf.DUMMYFUNCTION("""COMPUTED_VALUE"""),"URBANO")</f>
        <v>URBANO</v>
      </c>
      <c r="I1455" s="25" t="str">
        <f ca="1">IFERROR(__xludf.DUMMYFUNCTION("""COMPUTED_VALUE"""),"Prioridad 3")</f>
        <v>Prioridad 3</v>
      </c>
      <c r="J1455" s="45"/>
    </row>
    <row r="1456" spans="2:10" ht="15.75" customHeight="1">
      <c r="B1456" s="25" t="str">
        <f ca="1">IFERROR(__xludf.DUMMYFUNCTION("""COMPUTED_VALUE"""),"MUNICIPALIDAD DISTRITAL")</f>
        <v>MUNICIPALIDAD DISTRITAL</v>
      </c>
      <c r="C1456" s="25" t="str">
        <f ca="1">IFERROR(__xludf.DUMMYFUNCTION("""COMPUTED_VALUE"""),"MUNICIPALIDAD DISTRITAL DE SURQUILLO")</f>
        <v>MUNICIPALIDAD DISTRITAL DE SURQUILLO</v>
      </c>
      <c r="D1456" s="25" t="str">
        <f ca="1">IFERROR(__xludf.DUMMYFUNCTION("""COMPUTED_VALUE"""),"SEDE CENTRAL")</f>
        <v>SEDE CENTRAL</v>
      </c>
      <c r="E1456" s="25" t="str">
        <f ca="1">IFERROR(__xludf.DUMMYFUNCTION("""COMPUTED_VALUE"""),"LIMA")</f>
        <v>LIMA</v>
      </c>
      <c r="F1456" s="25" t="str">
        <f ca="1">IFERROR(__xludf.DUMMYFUNCTION("""COMPUTED_VALUE"""),"LIMA")</f>
        <v>LIMA</v>
      </c>
      <c r="G1456" s="25" t="str">
        <f ca="1">IFERROR(__xludf.DUMMYFUNCTION("""COMPUTED_VALUE"""),"SURQUILLO")</f>
        <v>SURQUILLO</v>
      </c>
      <c r="H1456" s="25" t="str">
        <f ca="1">IFERROR(__xludf.DUMMYFUNCTION("""COMPUTED_VALUE"""),"URBANO")</f>
        <v>URBANO</v>
      </c>
      <c r="I1456" s="25" t="str">
        <f ca="1">IFERROR(__xludf.DUMMYFUNCTION("""COMPUTED_VALUE"""),"Prioridad 3")</f>
        <v>Prioridad 3</v>
      </c>
      <c r="J1456" s="45"/>
    </row>
    <row r="1457" spans="2:10" ht="15.75" customHeight="1">
      <c r="B1457" s="25" t="str">
        <f ca="1">IFERROR(__xludf.DUMMYFUNCTION("""COMPUTED_VALUE"""),"MUNICIPALIDAD DISTRITAL")</f>
        <v>MUNICIPALIDAD DISTRITAL</v>
      </c>
      <c r="C1457" s="25" t="str">
        <f ca="1">IFERROR(__xludf.DUMMYFUNCTION("""COMPUTED_VALUE"""),"MUNICIPALIDAD DISTRITAL DE VILLA EL SALVADOR")</f>
        <v>MUNICIPALIDAD DISTRITAL DE VILLA EL SALVADOR</v>
      </c>
      <c r="D1457" s="25" t="str">
        <f ca="1">IFERROR(__xludf.DUMMYFUNCTION("""COMPUTED_VALUE"""),"SEDE CENTRAL")</f>
        <v>SEDE CENTRAL</v>
      </c>
      <c r="E1457" s="25" t="str">
        <f ca="1">IFERROR(__xludf.DUMMYFUNCTION("""COMPUTED_VALUE"""),"LIMA")</f>
        <v>LIMA</v>
      </c>
      <c r="F1457" s="25" t="str">
        <f ca="1">IFERROR(__xludf.DUMMYFUNCTION("""COMPUTED_VALUE"""),"LIMA")</f>
        <v>LIMA</v>
      </c>
      <c r="G1457" s="25" t="str">
        <f ca="1">IFERROR(__xludf.DUMMYFUNCTION("""COMPUTED_VALUE"""),"VILLA EL SALVADOR")</f>
        <v>VILLA EL SALVADOR</v>
      </c>
      <c r="H1457" s="25" t="str">
        <f ca="1">IFERROR(__xludf.DUMMYFUNCTION("""COMPUTED_VALUE"""),"URBANO")</f>
        <v>URBANO</v>
      </c>
      <c r="I1457" s="25" t="str">
        <f ca="1">IFERROR(__xludf.DUMMYFUNCTION("""COMPUTED_VALUE"""),"Prioridad 2")</f>
        <v>Prioridad 2</v>
      </c>
      <c r="J1457" s="45"/>
    </row>
    <row r="1458" spans="2:10" ht="15.75" customHeight="1">
      <c r="B1458" s="25" t="str">
        <f ca="1">IFERROR(__xludf.DUMMYFUNCTION("""COMPUTED_VALUE"""),"MUNICIPALIDAD DISTRITAL")</f>
        <v>MUNICIPALIDAD DISTRITAL</v>
      </c>
      <c r="C1458" s="25" t="str">
        <f ca="1">IFERROR(__xludf.DUMMYFUNCTION("""COMPUTED_VALUE"""),"MUNICIPALIDAD DISTRITAL DE VILLA MARIA DEL TRIUNFO")</f>
        <v>MUNICIPALIDAD DISTRITAL DE VILLA MARIA DEL TRIUNFO</v>
      </c>
      <c r="D1458" s="25" t="str">
        <f ca="1">IFERROR(__xludf.DUMMYFUNCTION("""COMPUTED_VALUE"""),"SEDE CENTRAL")</f>
        <v>SEDE CENTRAL</v>
      </c>
      <c r="E1458" s="25" t="str">
        <f ca="1">IFERROR(__xludf.DUMMYFUNCTION("""COMPUTED_VALUE"""),"LIMA")</f>
        <v>LIMA</v>
      </c>
      <c r="F1458" s="25" t="str">
        <f ca="1">IFERROR(__xludf.DUMMYFUNCTION("""COMPUTED_VALUE"""),"LIMA")</f>
        <v>LIMA</v>
      </c>
      <c r="G1458" s="25" t="str">
        <f ca="1">IFERROR(__xludf.DUMMYFUNCTION("""COMPUTED_VALUE"""),"VILLA MARIA DEL TRIUNFO")</f>
        <v>VILLA MARIA DEL TRIUNFO</v>
      </c>
      <c r="H1458" s="25" t="str">
        <f ca="1">IFERROR(__xludf.DUMMYFUNCTION("""COMPUTED_VALUE"""),"URBANO")</f>
        <v>URBANO</v>
      </c>
      <c r="I1458" s="25" t="str">
        <f ca="1">IFERROR(__xludf.DUMMYFUNCTION("""COMPUTED_VALUE"""),"Prioridad 3")</f>
        <v>Prioridad 3</v>
      </c>
      <c r="J1458" s="45"/>
    </row>
    <row r="1459" spans="2:10" ht="15.75" customHeight="1">
      <c r="B1459" s="25" t="str">
        <f ca="1">IFERROR(__xludf.DUMMYFUNCTION("""COMPUTED_VALUE"""),"MUNICIPALIDAD PROVINCIAL")</f>
        <v>MUNICIPALIDAD PROVINCIAL</v>
      </c>
      <c r="C1459" s="25" t="str">
        <f ca="1">IFERROR(__xludf.DUMMYFUNCTION("""COMPUTED_VALUE"""),"MUNICIPALIDAD PROVINCIAL DE OYON")</f>
        <v>MUNICIPALIDAD PROVINCIAL DE OYON</v>
      </c>
      <c r="D1459" s="25" t="str">
        <f ca="1">IFERROR(__xludf.DUMMYFUNCTION("""COMPUTED_VALUE"""),"SEDE CENTRAL")</f>
        <v>SEDE CENTRAL</v>
      </c>
      <c r="E1459" s="25" t="str">
        <f ca="1">IFERROR(__xludf.DUMMYFUNCTION("""COMPUTED_VALUE"""),"LIMA")</f>
        <v>LIMA</v>
      </c>
      <c r="F1459" s="25" t="str">
        <f ca="1">IFERROR(__xludf.DUMMYFUNCTION("""COMPUTED_VALUE"""),"OYON")</f>
        <v>OYON</v>
      </c>
      <c r="G1459" s="25" t="str">
        <f ca="1">IFERROR(__xludf.DUMMYFUNCTION("""COMPUTED_VALUE"""),"OYON")</f>
        <v>OYON</v>
      </c>
      <c r="H1459" s="25" t="str">
        <f ca="1">IFERROR(__xludf.DUMMYFUNCTION("""COMPUTED_VALUE"""),"URBANO")</f>
        <v>URBANO</v>
      </c>
      <c r="I1459" s="25" t="str">
        <f ca="1">IFERROR(__xludf.DUMMYFUNCTION("""COMPUTED_VALUE"""),"Prioridad 2")</f>
        <v>Prioridad 2</v>
      </c>
      <c r="J1459" s="45"/>
    </row>
    <row r="1460" spans="2:10" ht="15.75" customHeight="1">
      <c r="B1460" s="25" t="str">
        <f ca="1">IFERROR(__xludf.DUMMYFUNCTION("""COMPUTED_VALUE"""),"MUNICIPALIDAD DISTRITAL")</f>
        <v>MUNICIPALIDAD DISTRITAL</v>
      </c>
      <c r="C1460" s="25" t="str">
        <f ca="1">IFERROR(__xludf.DUMMYFUNCTION("""COMPUTED_VALUE"""),"MUNICIPALIDAD DISTRITAL DE ANDAJES")</f>
        <v>MUNICIPALIDAD DISTRITAL DE ANDAJES</v>
      </c>
      <c r="D1460" s="25" t="str">
        <f ca="1">IFERROR(__xludf.DUMMYFUNCTION("""COMPUTED_VALUE"""),"SEDE CENTRAL")</f>
        <v>SEDE CENTRAL</v>
      </c>
      <c r="E1460" s="25" t="str">
        <f ca="1">IFERROR(__xludf.DUMMYFUNCTION("""COMPUTED_VALUE"""),"LIMA")</f>
        <v>LIMA</v>
      </c>
      <c r="F1460" s="25" t="str">
        <f ca="1">IFERROR(__xludf.DUMMYFUNCTION("""COMPUTED_VALUE"""),"OYON")</f>
        <v>OYON</v>
      </c>
      <c r="G1460" s="25" t="str">
        <f ca="1">IFERROR(__xludf.DUMMYFUNCTION("""COMPUTED_VALUE"""),"ANDAJES")</f>
        <v>ANDAJES</v>
      </c>
      <c r="H1460" s="25" t="str">
        <f ca="1">IFERROR(__xludf.DUMMYFUNCTION("""COMPUTED_VALUE"""),"RURAL")</f>
        <v>RURAL</v>
      </c>
      <c r="I1460" s="25" t="str">
        <f ca="1">IFERROR(__xludf.DUMMYFUNCTION("""COMPUTED_VALUE"""),"Prioridad 4")</f>
        <v>Prioridad 4</v>
      </c>
      <c r="J1460" s="45"/>
    </row>
    <row r="1461" spans="2:10" ht="15.75" customHeight="1">
      <c r="B1461" s="25" t="str">
        <f ca="1">IFERROR(__xludf.DUMMYFUNCTION("""COMPUTED_VALUE"""),"MUNICIPALIDAD DISTRITAL")</f>
        <v>MUNICIPALIDAD DISTRITAL</v>
      </c>
      <c r="C1461" s="25" t="str">
        <f ca="1">IFERROR(__xludf.DUMMYFUNCTION("""COMPUTED_VALUE"""),"MUNICIPALIDAD DISTRITAL DE CAUJUL")</f>
        <v>MUNICIPALIDAD DISTRITAL DE CAUJUL</v>
      </c>
      <c r="D1461" s="25" t="str">
        <f ca="1">IFERROR(__xludf.DUMMYFUNCTION("""COMPUTED_VALUE"""),"SEDE CENTRAL")</f>
        <v>SEDE CENTRAL</v>
      </c>
      <c r="E1461" s="25" t="str">
        <f ca="1">IFERROR(__xludf.DUMMYFUNCTION("""COMPUTED_VALUE"""),"LIMA")</f>
        <v>LIMA</v>
      </c>
      <c r="F1461" s="25" t="str">
        <f ca="1">IFERROR(__xludf.DUMMYFUNCTION("""COMPUTED_VALUE"""),"OYON")</f>
        <v>OYON</v>
      </c>
      <c r="G1461" s="25" t="str">
        <f ca="1">IFERROR(__xludf.DUMMYFUNCTION("""COMPUTED_VALUE"""),"CAUJUL")</f>
        <v>CAUJUL</v>
      </c>
      <c r="H1461" s="25" t="str">
        <f ca="1">IFERROR(__xludf.DUMMYFUNCTION("""COMPUTED_VALUE"""),"RURAL")</f>
        <v>RURAL</v>
      </c>
      <c r="I1461" s="25" t="str">
        <f ca="1">IFERROR(__xludf.DUMMYFUNCTION("""COMPUTED_VALUE"""),"Prioridad 5")</f>
        <v>Prioridad 5</v>
      </c>
      <c r="J1461" s="45"/>
    </row>
    <row r="1462" spans="2:10" ht="15.75" customHeight="1">
      <c r="B1462" s="25" t="str">
        <f ca="1">IFERROR(__xludf.DUMMYFUNCTION("""COMPUTED_VALUE"""),"MUNICIPALIDAD DISTRITAL")</f>
        <v>MUNICIPALIDAD DISTRITAL</v>
      </c>
      <c r="C1462" s="25" t="str">
        <f ca="1">IFERROR(__xludf.DUMMYFUNCTION("""COMPUTED_VALUE"""),"MUNICIPALIDAD DISTRITAL DE COCHAMARCA")</f>
        <v>MUNICIPALIDAD DISTRITAL DE COCHAMARCA</v>
      </c>
      <c r="D1462" s="25" t="str">
        <f ca="1">IFERROR(__xludf.DUMMYFUNCTION("""COMPUTED_VALUE"""),"SEDE CENTRAL")</f>
        <v>SEDE CENTRAL</v>
      </c>
      <c r="E1462" s="25" t="str">
        <f ca="1">IFERROR(__xludf.DUMMYFUNCTION("""COMPUTED_VALUE"""),"LIMA")</f>
        <v>LIMA</v>
      </c>
      <c r="F1462" s="25" t="str">
        <f ca="1">IFERROR(__xludf.DUMMYFUNCTION("""COMPUTED_VALUE"""),"OYON")</f>
        <v>OYON</v>
      </c>
      <c r="G1462" s="25" t="str">
        <f ca="1">IFERROR(__xludf.DUMMYFUNCTION("""COMPUTED_VALUE"""),"COCHAMARCA")</f>
        <v>COCHAMARCA</v>
      </c>
      <c r="H1462" s="25" t="str">
        <f ca="1">IFERROR(__xludf.DUMMYFUNCTION("""COMPUTED_VALUE"""),"RURAL")</f>
        <v>RURAL</v>
      </c>
      <c r="I1462" s="25" t="str">
        <f ca="1">IFERROR(__xludf.DUMMYFUNCTION("""COMPUTED_VALUE"""),"Prioridad 5")</f>
        <v>Prioridad 5</v>
      </c>
      <c r="J1462" s="45"/>
    </row>
    <row r="1463" spans="2:10" ht="15.75" customHeight="1">
      <c r="B1463" s="25" t="str">
        <f ca="1">IFERROR(__xludf.DUMMYFUNCTION("""COMPUTED_VALUE"""),"MUNICIPALIDAD DISTRITAL")</f>
        <v>MUNICIPALIDAD DISTRITAL</v>
      </c>
      <c r="C1463" s="25" t="str">
        <f ca="1">IFERROR(__xludf.DUMMYFUNCTION("""COMPUTED_VALUE"""),"MUNICIPALIDAD DISTRITAL DE NAVAN")</f>
        <v>MUNICIPALIDAD DISTRITAL DE NAVAN</v>
      </c>
      <c r="D1463" s="25" t="str">
        <f ca="1">IFERROR(__xludf.DUMMYFUNCTION("""COMPUTED_VALUE"""),"SEDE CENTRAL")</f>
        <v>SEDE CENTRAL</v>
      </c>
      <c r="E1463" s="25" t="str">
        <f ca="1">IFERROR(__xludf.DUMMYFUNCTION("""COMPUTED_VALUE"""),"LIMA")</f>
        <v>LIMA</v>
      </c>
      <c r="F1463" s="25" t="str">
        <f ca="1">IFERROR(__xludf.DUMMYFUNCTION("""COMPUTED_VALUE"""),"OYON")</f>
        <v>OYON</v>
      </c>
      <c r="G1463" s="25" t="str">
        <f ca="1">IFERROR(__xludf.DUMMYFUNCTION("""COMPUTED_VALUE"""),"NAVAN")</f>
        <v>NAVAN</v>
      </c>
      <c r="H1463" s="25" t="str">
        <f ca="1">IFERROR(__xludf.DUMMYFUNCTION("""COMPUTED_VALUE"""),"RURAL")</f>
        <v>RURAL</v>
      </c>
      <c r="I1463" s="25" t="str">
        <f ca="1">IFERROR(__xludf.DUMMYFUNCTION("""COMPUTED_VALUE"""),"Prioridad 5")</f>
        <v>Prioridad 5</v>
      </c>
      <c r="J1463" s="45"/>
    </row>
    <row r="1464" spans="2:10" ht="15.75" customHeight="1">
      <c r="B1464" s="25" t="str">
        <f ca="1">IFERROR(__xludf.DUMMYFUNCTION("""COMPUTED_VALUE"""),"MUNICIPALIDAD DISTRITAL")</f>
        <v>MUNICIPALIDAD DISTRITAL</v>
      </c>
      <c r="C1464" s="25" t="str">
        <f ca="1">IFERROR(__xludf.DUMMYFUNCTION("""COMPUTED_VALUE"""),"MUNICIPALIDAD DISTRITAL DE PACHANGARA")</f>
        <v>MUNICIPALIDAD DISTRITAL DE PACHANGARA</v>
      </c>
      <c r="D1464" s="25" t="str">
        <f ca="1">IFERROR(__xludf.DUMMYFUNCTION("""COMPUTED_VALUE"""),"SEDE CENTRAL")</f>
        <v>SEDE CENTRAL</v>
      </c>
      <c r="E1464" s="25" t="str">
        <f ca="1">IFERROR(__xludf.DUMMYFUNCTION("""COMPUTED_VALUE"""),"LIMA")</f>
        <v>LIMA</v>
      </c>
      <c r="F1464" s="25" t="str">
        <f ca="1">IFERROR(__xludf.DUMMYFUNCTION("""COMPUTED_VALUE"""),"OYON")</f>
        <v>OYON</v>
      </c>
      <c r="G1464" s="25" t="str">
        <f ca="1">IFERROR(__xludf.DUMMYFUNCTION("""COMPUTED_VALUE"""),"PACHANGARA")</f>
        <v>PACHANGARA</v>
      </c>
      <c r="H1464" s="25" t="str">
        <f ca="1">IFERROR(__xludf.DUMMYFUNCTION("""COMPUTED_VALUE"""),"RURAL")</f>
        <v>RURAL</v>
      </c>
      <c r="I1464" s="25" t="str">
        <f ca="1">IFERROR(__xludf.DUMMYFUNCTION("""COMPUTED_VALUE"""),"Prioridad 2")</f>
        <v>Prioridad 2</v>
      </c>
      <c r="J1464" s="45"/>
    </row>
    <row r="1465" spans="2:10" ht="15.75" customHeight="1">
      <c r="B1465" s="25" t="str">
        <f ca="1">IFERROR(__xludf.DUMMYFUNCTION("""COMPUTED_VALUE"""),"MUNICIPALIDAD PROVINCIAL")</f>
        <v>MUNICIPALIDAD PROVINCIAL</v>
      </c>
      <c r="C1465" s="25" t="str">
        <f ca="1">IFERROR(__xludf.DUMMYFUNCTION("""COMPUTED_VALUE"""),"MUNICIPALIDAD PROVINCIAL DE YAUYOS")</f>
        <v>MUNICIPALIDAD PROVINCIAL DE YAUYOS</v>
      </c>
      <c r="D1465" s="25" t="str">
        <f ca="1">IFERROR(__xludf.DUMMYFUNCTION("""COMPUTED_VALUE"""),"SEDE CENTRAL")</f>
        <v>SEDE CENTRAL</v>
      </c>
      <c r="E1465" s="25" t="str">
        <f ca="1">IFERROR(__xludf.DUMMYFUNCTION("""COMPUTED_VALUE"""),"LIMA")</f>
        <v>LIMA</v>
      </c>
      <c r="F1465" s="25" t="str">
        <f ca="1">IFERROR(__xludf.DUMMYFUNCTION("""COMPUTED_VALUE"""),"YAUYOS")</f>
        <v>YAUYOS</v>
      </c>
      <c r="G1465" s="25" t="str">
        <f ca="1">IFERROR(__xludf.DUMMYFUNCTION("""COMPUTED_VALUE"""),"YAUYOS")</f>
        <v>YAUYOS</v>
      </c>
      <c r="H1465" s="25" t="str">
        <f ca="1">IFERROR(__xludf.DUMMYFUNCTION("""COMPUTED_VALUE"""),"RURAL")</f>
        <v>RURAL</v>
      </c>
      <c r="I1465" s="25" t="str">
        <f ca="1">IFERROR(__xludf.DUMMYFUNCTION("""COMPUTED_VALUE"""),"Prioridad 2")</f>
        <v>Prioridad 2</v>
      </c>
      <c r="J1465" s="45"/>
    </row>
    <row r="1466" spans="2:10" ht="15.75" customHeight="1">
      <c r="B1466" s="25" t="str">
        <f ca="1">IFERROR(__xludf.DUMMYFUNCTION("""COMPUTED_VALUE"""),"MUNICIPALIDAD DISTRITAL")</f>
        <v>MUNICIPALIDAD DISTRITAL</v>
      </c>
      <c r="C1466" s="25" t="str">
        <f ca="1">IFERROR(__xludf.DUMMYFUNCTION("""COMPUTED_VALUE"""),"MUNICIPALIDAD DISTRITAL DE ALIS")</f>
        <v>MUNICIPALIDAD DISTRITAL DE ALIS</v>
      </c>
      <c r="D1466" s="25" t="str">
        <f ca="1">IFERROR(__xludf.DUMMYFUNCTION("""COMPUTED_VALUE"""),"SEDE CENTRAL")</f>
        <v>SEDE CENTRAL</v>
      </c>
      <c r="E1466" s="25" t="str">
        <f ca="1">IFERROR(__xludf.DUMMYFUNCTION("""COMPUTED_VALUE"""),"LIMA")</f>
        <v>LIMA</v>
      </c>
      <c r="F1466" s="25" t="str">
        <f ca="1">IFERROR(__xludf.DUMMYFUNCTION("""COMPUTED_VALUE"""),"YAUYOS")</f>
        <v>YAUYOS</v>
      </c>
      <c r="G1466" s="25" t="str">
        <f ca="1">IFERROR(__xludf.DUMMYFUNCTION("""COMPUTED_VALUE"""),"ALIS")</f>
        <v>ALIS</v>
      </c>
      <c r="H1466" s="25" t="str">
        <f ca="1">IFERROR(__xludf.DUMMYFUNCTION("""COMPUTED_VALUE"""),"RURAL")</f>
        <v>RURAL</v>
      </c>
      <c r="I1466" s="25" t="str">
        <f ca="1">IFERROR(__xludf.DUMMYFUNCTION("""COMPUTED_VALUE"""),"Prioridad 3")</f>
        <v>Prioridad 3</v>
      </c>
      <c r="J1466" s="45"/>
    </row>
    <row r="1467" spans="2:10" ht="15.75" customHeight="1">
      <c r="B1467" s="25" t="str">
        <f ca="1">IFERROR(__xludf.DUMMYFUNCTION("""COMPUTED_VALUE"""),"MUNICIPALIDAD DISTRITAL")</f>
        <v>MUNICIPALIDAD DISTRITAL</v>
      </c>
      <c r="C1467" s="25" t="str">
        <f ca="1">IFERROR(__xludf.DUMMYFUNCTION("""COMPUTED_VALUE"""),"MUNICIPALIDAD DISTRITAL DE ALLAUCA")</f>
        <v>MUNICIPALIDAD DISTRITAL DE ALLAUCA</v>
      </c>
      <c r="D1467" s="25" t="str">
        <f ca="1">IFERROR(__xludf.DUMMYFUNCTION("""COMPUTED_VALUE"""),"SEDE CENTRAL")</f>
        <v>SEDE CENTRAL</v>
      </c>
      <c r="E1467" s="25" t="str">
        <f ca="1">IFERROR(__xludf.DUMMYFUNCTION("""COMPUTED_VALUE"""),"LIMA")</f>
        <v>LIMA</v>
      </c>
      <c r="F1467" s="25" t="str">
        <f ca="1">IFERROR(__xludf.DUMMYFUNCTION("""COMPUTED_VALUE"""),"YAUYOS")</f>
        <v>YAUYOS</v>
      </c>
      <c r="G1467" s="25" t="str">
        <f ca="1">IFERROR(__xludf.DUMMYFUNCTION("""COMPUTED_VALUE"""),"ALLAUCA")</f>
        <v>ALLAUCA</v>
      </c>
      <c r="H1467" s="25" t="str">
        <f ca="1">IFERROR(__xludf.DUMMYFUNCTION("""COMPUTED_VALUE"""),"RURAL")</f>
        <v>RURAL</v>
      </c>
      <c r="I1467" s="25" t="str">
        <f ca="1">IFERROR(__xludf.DUMMYFUNCTION("""COMPUTED_VALUE"""),"Prioridad 5")</f>
        <v>Prioridad 5</v>
      </c>
      <c r="J1467" s="45"/>
    </row>
    <row r="1468" spans="2:10">
      <c r="B1468" s="25" t="str">
        <f ca="1">IFERROR(__xludf.DUMMYFUNCTION("""COMPUTED_VALUE"""),"MUNICIPALIDAD DISTRITAL")</f>
        <v>MUNICIPALIDAD DISTRITAL</v>
      </c>
      <c r="C1468" s="25" t="str">
        <f ca="1">IFERROR(__xludf.DUMMYFUNCTION("""COMPUTED_VALUE"""),"MUNICIPALIDAD DISTRITAL DE AYAVIRI")</f>
        <v>MUNICIPALIDAD DISTRITAL DE AYAVIRI</v>
      </c>
      <c r="D1468" s="25" t="str">
        <f ca="1">IFERROR(__xludf.DUMMYFUNCTION("""COMPUTED_VALUE"""),"SEDE CENTRAL")</f>
        <v>SEDE CENTRAL</v>
      </c>
      <c r="E1468" s="25" t="str">
        <f ca="1">IFERROR(__xludf.DUMMYFUNCTION("""COMPUTED_VALUE"""),"LIMA")</f>
        <v>LIMA</v>
      </c>
      <c r="F1468" s="25" t="str">
        <f ca="1">IFERROR(__xludf.DUMMYFUNCTION("""COMPUTED_VALUE"""),"YAUYOS")</f>
        <v>YAUYOS</v>
      </c>
      <c r="G1468" s="25" t="str">
        <f ca="1">IFERROR(__xludf.DUMMYFUNCTION("""COMPUTED_VALUE"""),"AYAVIRI")</f>
        <v>AYAVIRI</v>
      </c>
      <c r="H1468" s="25" t="str">
        <f ca="1">IFERROR(__xludf.DUMMYFUNCTION("""COMPUTED_VALUE"""),"RURAL")</f>
        <v>RURAL</v>
      </c>
      <c r="I1468" s="25" t="str">
        <f ca="1">IFERROR(__xludf.DUMMYFUNCTION("""COMPUTED_VALUE"""),"Prioridad 3")</f>
        <v>Prioridad 3</v>
      </c>
      <c r="J1468" s="42" t="s">
        <v>260</v>
      </c>
    </row>
    <row r="1469" spans="2:10">
      <c r="B1469" s="25" t="str">
        <f ca="1">IFERROR(__xludf.DUMMYFUNCTION("""COMPUTED_VALUE"""),"MUNICIPALIDAD DISTRITAL")</f>
        <v>MUNICIPALIDAD DISTRITAL</v>
      </c>
      <c r="C1469" s="25" t="str">
        <f ca="1">IFERROR(__xludf.DUMMYFUNCTION("""COMPUTED_VALUE"""),"MUNICIPALIDAD DISTRITAL DE AZANGARO")</f>
        <v>MUNICIPALIDAD DISTRITAL DE AZANGARO</v>
      </c>
      <c r="D1469" s="25" t="str">
        <f ca="1">IFERROR(__xludf.DUMMYFUNCTION("""COMPUTED_VALUE"""),"SEDE CENTRAL")</f>
        <v>SEDE CENTRAL</v>
      </c>
      <c r="E1469" s="25" t="str">
        <f ca="1">IFERROR(__xludf.DUMMYFUNCTION("""COMPUTED_VALUE"""),"LIMA")</f>
        <v>LIMA</v>
      </c>
      <c r="F1469" s="25" t="str">
        <f ca="1">IFERROR(__xludf.DUMMYFUNCTION("""COMPUTED_VALUE"""),"YAUYOS")</f>
        <v>YAUYOS</v>
      </c>
      <c r="G1469" s="25" t="str">
        <f ca="1">IFERROR(__xludf.DUMMYFUNCTION("""COMPUTED_VALUE"""),"AZANGARO")</f>
        <v>AZANGARO</v>
      </c>
      <c r="H1469" s="25" t="str">
        <f ca="1">IFERROR(__xludf.DUMMYFUNCTION("""COMPUTED_VALUE"""),"RURAL")</f>
        <v>RURAL</v>
      </c>
      <c r="I1469" s="25" t="str">
        <f ca="1">IFERROR(__xludf.DUMMYFUNCTION("""COMPUTED_VALUE"""),"Prioridad 3")</f>
        <v>Prioridad 3</v>
      </c>
      <c r="J1469" s="42" t="s">
        <v>260</v>
      </c>
    </row>
    <row r="1470" spans="2:10">
      <c r="B1470" s="25" t="str">
        <f ca="1">IFERROR(__xludf.DUMMYFUNCTION("""COMPUTED_VALUE"""),"MUNICIPALIDAD DISTRITAL")</f>
        <v>MUNICIPALIDAD DISTRITAL</v>
      </c>
      <c r="C1470" s="25" t="str">
        <f ca="1">IFERROR(__xludf.DUMMYFUNCTION("""COMPUTED_VALUE"""),"MUNICIPALIDAD DISTRITAL DE CACRA")</f>
        <v>MUNICIPALIDAD DISTRITAL DE CACRA</v>
      </c>
      <c r="D1470" s="25" t="str">
        <f ca="1">IFERROR(__xludf.DUMMYFUNCTION("""COMPUTED_VALUE"""),"SEDE CENTRAL")</f>
        <v>SEDE CENTRAL</v>
      </c>
      <c r="E1470" s="25" t="str">
        <f ca="1">IFERROR(__xludf.DUMMYFUNCTION("""COMPUTED_VALUE"""),"LIMA")</f>
        <v>LIMA</v>
      </c>
      <c r="F1470" s="25" t="str">
        <f ca="1">IFERROR(__xludf.DUMMYFUNCTION("""COMPUTED_VALUE"""),"YAUYOS")</f>
        <v>YAUYOS</v>
      </c>
      <c r="G1470" s="25" t="str">
        <f ca="1">IFERROR(__xludf.DUMMYFUNCTION("""COMPUTED_VALUE"""),"CACRA")</f>
        <v>CACRA</v>
      </c>
      <c r="H1470" s="25" t="str">
        <f ca="1">IFERROR(__xludf.DUMMYFUNCTION("""COMPUTED_VALUE"""),"RURAL")</f>
        <v>RURAL</v>
      </c>
      <c r="I1470" s="25" t="str">
        <f ca="1">IFERROR(__xludf.DUMMYFUNCTION("""COMPUTED_VALUE"""),"Prioridad 5")</f>
        <v>Prioridad 5</v>
      </c>
      <c r="J1470" s="42" t="s">
        <v>260</v>
      </c>
    </row>
    <row r="1471" spans="2:10">
      <c r="B1471" s="25" t="str">
        <f ca="1">IFERROR(__xludf.DUMMYFUNCTION("""COMPUTED_VALUE"""),"MUNICIPALIDAD DISTRITAL")</f>
        <v>MUNICIPALIDAD DISTRITAL</v>
      </c>
      <c r="C1471" s="25" t="str">
        <f ca="1">IFERROR(__xludf.DUMMYFUNCTION("""COMPUTED_VALUE"""),"MUNICIPALIDAD DISTRITAL DE CARANIA")</f>
        <v>MUNICIPALIDAD DISTRITAL DE CARANIA</v>
      </c>
      <c r="D1471" s="25" t="str">
        <f ca="1">IFERROR(__xludf.DUMMYFUNCTION("""COMPUTED_VALUE"""),"SEDE CENTRAL")</f>
        <v>SEDE CENTRAL</v>
      </c>
      <c r="E1471" s="25" t="str">
        <f ca="1">IFERROR(__xludf.DUMMYFUNCTION("""COMPUTED_VALUE"""),"LIMA")</f>
        <v>LIMA</v>
      </c>
      <c r="F1471" s="25" t="str">
        <f ca="1">IFERROR(__xludf.DUMMYFUNCTION("""COMPUTED_VALUE"""),"YAUYOS")</f>
        <v>YAUYOS</v>
      </c>
      <c r="G1471" s="25" t="str">
        <f ca="1">IFERROR(__xludf.DUMMYFUNCTION("""COMPUTED_VALUE"""),"CARANIA")</f>
        <v>CARANIA</v>
      </c>
      <c r="H1471" s="25" t="str">
        <f ca="1">IFERROR(__xludf.DUMMYFUNCTION("""COMPUTED_VALUE"""),"RURAL")</f>
        <v>RURAL</v>
      </c>
      <c r="I1471" s="25" t="str">
        <f ca="1">IFERROR(__xludf.DUMMYFUNCTION("""COMPUTED_VALUE"""),"Prioridad 5")</f>
        <v>Prioridad 5</v>
      </c>
      <c r="J1471" s="42" t="s">
        <v>260</v>
      </c>
    </row>
    <row r="1472" spans="2:10">
      <c r="B1472" s="25" t="str">
        <f ca="1">IFERROR(__xludf.DUMMYFUNCTION("""COMPUTED_VALUE"""),"MUNICIPALIDAD DISTRITAL")</f>
        <v>MUNICIPALIDAD DISTRITAL</v>
      </c>
      <c r="C1472" s="25" t="str">
        <f ca="1">IFERROR(__xludf.DUMMYFUNCTION("""COMPUTED_VALUE"""),"MUNICIPALIDAD DISTRITAL DE CATAHUASI")</f>
        <v>MUNICIPALIDAD DISTRITAL DE CATAHUASI</v>
      </c>
      <c r="D1472" s="25" t="str">
        <f ca="1">IFERROR(__xludf.DUMMYFUNCTION("""COMPUTED_VALUE"""),"SEDE CENTRAL")</f>
        <v>SEDE CENTRAL</v>
      </c>
      <c r="E1472" s="25" t="str">
        <f ca="1">IFERROR(__xludf.DUMMYFUNCTION("""COMPUTED_VALUE"""),"LIMA")</f>
        <v>LIMA</v>
      </c>
      <c r="F1472" s="25" t="str">
        <f ca="1">IFERROR(__xludf.DUMMYFUNCTION("""COMPUTED_VALUE"""),"YAUYOS")</f>
        <v>YAUYOS</v>
      </c>
      <c r="G1472" s="25" t="str">
        <f ca="1">IFERROR(__xludf.DUMMYFUNCTION("""COMPUTED_VALUE"""),"CATAHUASI")</f>
        <v>CATAHUASI</v>
      </c>
      <c r="H1472" s="25" t="str">
        <f ca="1">IFERROR(__xludf.DUMMYFUNCTION("""COMPUTED_VALUE"""),"RURAL")</f>
        <v>RURAL</v>
      </c>
      <c r="I1472" s="25" t="str">
        <f ca="1">IFERROR(__xludf.DUMMYFUNCTION("""COMPUTED_VALUE"""),"Prioridad 3")</f>
        <v>Prioridad 3</v>
      </c>
      <c r="J1472" s="42" t="s">
        <v>260</v>
      </c>
    </row>
    <row r="1473" spans="2:10">
      <c r="B1473" s="25" t="str">
        <f ca="1">IFERROR(__xludf.DUMMYFUNCTION("""COMPUTED_VALUE"""),"MUNICIPALIDAD DISTRITAL")</f>
        <v>MUNICIPALIDAD DISTRITAL</v>
      </c>
      <c r="C1473" s="25" t="str">
        <f ca="1">IFERROR(__xludf.DUMMYFUNCTION("""COMPUTED_VALUE"""),"MUNICIPALIDAD DISTRITAL DE CHOCOS")</f>
        <v>MUNICIPALIDAD DISTRITAL DE CHOCOS</v>
      </c>
      <c r="D1473" s="25" t="str">
        <f ca="1">IFERROR(__xludf.DUMMYFUNCTION("""COMPUTED_VALUE"""),"SEDE CENTRAL")</f>
        <v>SEDE CENTRAL</v>
      </c>
      <c r="E1473" s="25" t="str">
        <f ca="1">IFERROR(__xludf.DUMMYFUNCTION("""COMPUTED_VALUE"""),"LIMA")</f>
        <v>LIMA</v>
      </c>
      <c r="F1473" s="25" t="str">
        <f ca="1">IFERROR(__xludf.DUMMYFUNCTION("""COMPUTED_VALUE"""),"YAUYOS")</f>
        <v>YAUYOS</v>
      </c>
      <c r="G1473" s="25" t="str">
        <f ca="1">IFERROR(__xludf.DUMMYFUNCTION("""COMPUTED_VALUE"""),"CHOCOS")</f>
        <v>CHOCOS</v>
      </c>
      <c r="H1473" s="25" t="str">
        <f ca="1">IFERROR(__xludf.DUMMYFUNCTION("""COMPUTED_VALUE"""),"RURAL")</f>
        <v>RURAL</v>
      </c>
      <c r="I1473" s="25" t="str">
        <f ca="1">IFERROR(__xludf.DUMMYFUNCTION("""COMPUTED_VALUE"""),"Prioridad 5")</f>
        <v>Prioridad 5</v>
      </c>
      <c r="J1473" s="42" t="s">
        <v>260</v>
      </c>
    </row>
    <row r="1474" spans="2:10">
      <c r="B1474" s="25" t="str">
        <f ca="1">IFERROR(__xludf.DUMMYFUNCTION("""COMPUTED_VALUE"""),"MUNICIPALIDAD DISTRITAL")</f>
        <v>MUNICIPALIDAD DISTRITAL</v>
      </c>
      <c r="C1474" s="25" t="str">
        <f ca="1">IFERROR(__xludf.DUMMYFUNCTION("""COMPUTED_VALUE"""),"MUNICIPALIDAD DISTRITAL DE COCHAS EN YAUYOS")</f>
        <v>MUNICIPALIDAD DISTRITAL DE COCHAS EN YAUYOS</v>
      </c>
      <c r="D1474" s="25" t="str">
        <f ca="1">IFERROR(__xludf.DUMMYFUNCTION("""COMPUTED_VALUE"""),"SEDE CENTRAL")</f>
        <v>SEDE CENTRAL</v>
      </c>
      <c r="E1474" s="25" t="str">
        <f ca="1">IFERROR(__xludf.DUMMYFUNCTION("""COMPUTED_VALUE"""),"LIMA")</f>
        <v>LIMA</v>
      </c>
      <c r="F1474" s="25" t="str">
        <f ca="1">IFERROR(__xludf.DUMMYFUNCTION("""COMPUTED_VALUE"""),"YAUYOS")</f>
        <v>YAUYOS</v>
      </c>
      <c r="G1474" s="25" t="str">
        <f ca="1">IFERROR(__xludf.DUMMYFUNCTION("""COMPUTED_VALUE"""),"COCHAS")</f>
        <v>COCHAS</v>
      </c>
      <c r="H1474" s="25" t="str">
        <f ca="1">IFERROR(__xludf.DUMMYFUNCTION("""COMPUTED_VALUE"""),"RURAL")</f>
        <v>RURAL</v>
      </c>
      <c r="I1474" s="25" t="str">
        <f ca="1">IFERROR(__xludf.DUMMYFUNCTION("""COMPUTED_VALUE"""),"Prioridad 4")</f>
        <v>Prioridad 4</v>
      </c>
      <c r="J1474" s="42" t="s">
        <v>260</v>
      </c>
    </row>
    <row r="1475" spans="2:10">
      <c r="B1475" s="25" t="str">
        <f ca="1">IFERROR(__xludf.DUMMYFUNCTION("""COMPUTED_VALUE"""),"MUNICIPALIDAD DISTRITAL")</f>
        <v>MUNICIPALIDAD DISTRITAL</v>
      </c>
      <c r="C1475" s="25" t="str">
        <f ca="1">IFERROR(__xludf.DUMMYFUNCTION("""COMPUTED_VALUE"""),"MUNICIPALIDAD DISTRITAL DE COLONIA")</f>
        <v>MUNICIPALIDAD DISTRITAL DE COLONIA</v>
      </c>
      <c r="D1475" s="25" t="str">
        <f ca="1">IFERROR(__xludf.DUMMYFUNCTION("""COMPUTED_VALUE"""),"SEDE CENTRAL")</f>
        <v>SEDE CENTRAL</v>
      </c>
      <c r="E1475" s="25" t="str">
        <f ca="1">IFERROR(__xludf.DUMMYFUNCTION("""COMPUTED_VALUE"""),"LIMA")</f>
        <v>LIMA</v>
      </c>
      <c r="F1475" s="25" t="str">
        <f ca="1">IFERROR(__xludf.DUMMYFUNCTION("""COMPUTED_VALUE"""),"YAUYOS")</f>
        <v>YAUYOS</v>
      </c>
      <c r="G1475" s="25" t="str">
        <f ca="1">IFERROR(__xludf.DUMMYFUNCTION("""COMPUTED_VALUE"""),"COLONIA")</f>
        <v>COLONIA</v>
      </c>
      <c r="H1475" s="25" t="str">
        <f ca="1">IFERROR(__xludf.DUMMYFUNCTION("""COMPUTED_VALUE"""),"RURAL")</f>
        <v>RURAL</v>
      </c>
      <c r="I1475" s="25" t="str">
        <f ca="1">IFERROR(__xludf.DUMMYFUNCTION("""COMPUTED_VALUE"""),"Prioridad 5")</f>
        <v>Prioridad 5</v>
      </c>
      <c r="J1475" s="42" t="s">
        <v>260</v>
      </c>
    </row>
    <row r="1476" spans="2:10">
      <c r="B1476" s="25" t="str">
        <f ca="1">IFERROR(__xludf.DUMMYFUNCTION("""COMPUTED_VALUE"""),"MUNICIPALIDAD DISTRITAL")</f>
        <v>MUNICIPALIDAD DISTRITAL</v>
      </c>
      <c r="C1476" s="25" t="str">
        <f ca="1">IFERROR(__xludf.DUMMYFUNCTION("""COMPUTED_VALUE"""),"MUNICIPALIDAD DISTRITAL DE HONGOS")</f>
        <v>MUNICIPALIDAD DISTRITAL DE HONGOS</v>
      </c>
      <c r="D1476" s="25" t="str">
        <f ca="1">IFERROR(__xludf.DUMMYFUNCTION("""COMPUTED_VALUE"""),"SEDE CENTRAL")</f>
        <v>SEDE CENTRAL</v>
      </c>
      <c r="E1476" s="25" t="str">
        <f ca="1">IFERROR(__xludf.DUMMYFUNCTION("""COMPUTED_VALUE"""),"LIMA")</f>
        <v>LIMA</v>
      </c>
      <c r="F1476" s="25" t="str">
        <f ca="1">IFERROR(__xludf.DUMMYFUNCTION("""COMPUTED_VALUE"""),"YAUYOS")</f>
        <v>YAUYOS</v>
      </c>
      <c r="G1476" s="25" t="str">
        <f ca="1">IFERROR(__xludf.DUMMYFUNCTION("""COMPUTED_VALUE"""),"HONGOS")</f>
        <v>HONGOS</v>
      </c>
      <c r="H1476" s="25" t="str">
        <f ca="1">IFERROR(__xludf.DUMMYFUNCTION("""COMPUTED_VALUE"""),"RURAL")</f>
        <v>RURAL</v>
      </c>
      <c r="I1476" s="25" t="str">
        <f ca="1">IFERROR(__xludf.DUMMYFUNCTION("""COMPUTED_VALUE"""),"Prioridad 4")</f>
        <v>Prioridad 4</v>
      </c>
      <c r="J1476" s="42" t="s">
        <v>260</v>
      </c>
    </row>
    <row r="1477" spans="2:10">
      <c r="B1477" s="25" t="str">
        <f ca="1">IFERROR(__xludf.DUMMYFUNCTION("""COMPUTED_VALUE"""),"MUNICIPALIDAD DISTRITAL")</f>
        <v>MUNICIPALIDAD DISTRITAL</v>
      </c>
      <c r="C1477" s="25" t="str">
        <f ca="1">IFERROR(__xludf.DUMMYFUNCTION("""COMPUTED_VALUE"""),"MUNICIPALIDAD DISTRITAL DE HUAMPARA")</f>
        <v>MUNICIPALIDAD DISTRITAL DE HUAMPARA</v>
      </c>
      <c r="D1477" s="25" t="str">
        <f ca="1">IFERROR(__xludf.DUMMYFUNCTION("""COMPUTED_VALUE"""),"SEDE CENTRAL")</f>
        <v>SEDE CENTRAL</v>
      </c>
      <c r="E1477" s="25" t="str">
        <f ca="1">IFERROR(__xludf.DUMMYFUNCTION("""COMPUTED_VALUE"""),"LIMA")</f>
        <v>LIMA</v>
      </c>
      <c r="F1477" s="25" t="str">
        <f ca="1">IFERROR(__xludf.DUMMYFUNCTION("""COMPUTED_VALUE"""),"YAUYOS")</f>
        <v>YAUYOS</v>
      </c>
      <c r="G1477" s="25" t="str">
        <f ca="1">IFERROR(__xludf.DUMMYFUNCTION("""COMPUTED_VALUE"""),"HUAMPARA")</f>
        <v>HUAMPARA</v>
      </c>
      <c r="H1477" s="25" t="str">
        <f ca="1">IFERROR(__xludf.DUMMYFUNCTION("""COMPUTED_VALUE"""),"RURAL")</f>
        <v>RURAL</v>
      </c>
      <c r="I1477" s="25" t="str">
        <f ca="1">IFERROR(__xludf.DUMMYFUNCTION("""COMPUTED_VALUE"""),"Prioridad 2")</f>
        <v>Prioridad 2</v>
      </c>
      <c r="J1477" s="42" t="s">
        <v>260</v>
      </c>
    </row>
    <row r="1478" spans="2:10">
      <c r="B1478" s="25" t="str">
        <f ca="1">IFERROR(__xludf.DUMMYFUNCTION("""COMPUTED_VALUE"""),"MUNICIPALIDAD DISTRITAL")</f>
        <v>MUNICIPALIDAD DISTRITAL</v>
      </c>
      <c r="C1478" s="25" t="str">
        <f ca="1">IFERROR(__xludf.DUMMYFUNCTION("""COMPUTED_VALUE"""),"MUNICIPALIDAD DISTRITAL DE HUANCAYA")</f>
        <v>MUNICIPALIDAD DISTRITAL DE HUANCAYA</v>
      </c>
      <c r="D1478" s="25" t="str">
        <f ca="1">IFERROR(__xludf.DUMMYFUNCTION("""COMPUTED_VALUE"""),"SEDE CENTRAL")</f>
        <v>SEDE CENTRAL</v>
      </c>
      <c r="E1478" s="25" t="str">
        <f ca="1">IFERROR(__xludf.DUMMYFUNCTION("""COMPUTED_VALUE"""),"LIMA")</f>
        <v>LIMA</v>
      </c>
      <c r="F1478" s="25" t="str">
        <f ca="1">IFERROR(__xludf.DUMMYFUNCTION("""COMPUTED_VALUE"""),"YAUYOS")</f>
        <v>YAUYOS</v>
      </c>
      <c r="G1478" s="25" t="str">
        <f ca="1">IFERROR(__xludf.DUMMYFUNCTION("""COMPUTED_VALUE"""),"HUANCAYA")</f>
        <v>HUANCAYA</v>
      </c>
      <c r="H1478" s="25" t="str">
        <f ca="1">IFERROR(__xludf.DUMMYFUNCTION("""COMPUTED_VALUE"""),"RURAL")</f>
        <v>RURAL</v>
      </c>
      <c r="I1478" s="25" t="str">
        <f ca="1">IFERROR(__xludf.DUMMYFUNCTION("""COMPUTED_VALUE"""),"Prioridad 2")</f>
        <v>Prioridad 2</v>
      </c>
      <c r="J1478" s="42" t="s">
        <v>260</v>
      </c>
    </row>
    <row r="1479" spans="2:10">
      <c r="B1479" s="25" t="str">
        <f ca="1">IFERROR(__xludf.DUMMYFUNCTION("""COMPUTED_VALUE"""),"MUNICIPALIDAD DISTRITAL")</f>
        <v>MUNICIPALIDAD DISTRITAL</v>
      </c>
      <c r="C1479" s="25" t="str">
        <f ca="1">IFERROR(__xludf.DUMMYFUNCTION("""COMPUTED_VALUE"""),"MUNICIPALIDAD DISTRITAL DE HUANGASCAR")</f>
        <v>MUNICIPALIDAD DISTRITAL DE HUANGASCAR</v>
      </c>
      <c r="D1479" s="25" t="str">
        <f ca="1">IFERROR(__xludf.DUMMYFUNCTION("""COMPUTED_VALUE"""),"SEDE CENTRAL")</f>
        <v>SEDE CENTRAL</v>
      </c>
      <c r="E1479" s="25" t="str">
        <f ca="1">IFERROR(__xludf.DUMMYFUNCTION("""COMPUTED_VALUE"""),"LIMA")</f>
        <v>LIMA</v>
      </c>
      <c r="F1479" s="25" t="str">
        <f ca="1">IFERROR(__xludf.DUMMYFUNCTION("""COMPUTED_VALUE"""),"YAUYOS")</f>
        <v>YAUYOS</v>
      </c>
      <c r="G1479" s="25" t="str">
        <f ca="1">IFERROR(__xludf.DUMMYFUNCTION("""COMPUTED_VALUE"""),"HUANGASCAR")</f>
        <v>HUANGASCAR</v>
      </c>
      <c r="H1479" s="25" t="str">
        <f ca="1">IFERROR(__xludf.DUMMYFUNCTION("""COMPUTED_VALUE"""),"RURAL")</f>
        <v>RURAL</v>
      </c>
      <c r="I1479" s="25" t="str">
        <f ca="1">IFERROR(__xludf.DUMMYFUNCTION("""COMPUTED_VALUE"""),"Prioridad 3")</f>
        <v>Prioridad 3</v>
      </c>
      <c r="J1479" s="42" t="s">
        <v>260</v>
      </c>
    </row>
    <row r="1480" spans="2:10">
      <c r="B1480" s="25" t="str">
        <f ca="1">IFERROR(__xludf.DUMMYFUNCTION("""COMPUTED_VALUE"""),"MUNICIPALIDAD DISTRITAL")</f>
        <v>MUNICIPALIDAD DISTRITAL</v>
      </c>
      <c r="C1480" s="25" t="str">
        <f ca="1">IFERROR(__xludf.DUMMYFUNCTION("""COMPUTED_VALUE"""),"MUNICIPALIDAD DISTRITAL DE HUANTAN")</f>
        <v>MUNICIPALIDAD DISTRITAL DE HUANTAN</v>
      </c>
      <c r="D1480" s="25" t="str">
        <f ca="1">IFERROR(__xludf.DUMMYFUNCTION("""COMPUTED_VALUE"""),"SEDE CENTRAL")</f>
        <v>SEDE CENTRAL</v>
      </c>
      <c r="E1480" s="25" t="str">
        <f ca="1">IFERROR(__xludf.DUMMYFUNCTION("""COMPUTED_VALUE"""),"LIMA")</f>
        <v>LIMA</v>
      </c>
      <c r="F1480" s="25" t="str">
        <f ca="1">IFERROR(__xludf.DUMMYFUNCTION("""COMPUTED_VALUE"""),"YAUYOS")</f>
        <v>YAUYOS</v>
      </c>
      <c r="G1480" s="25" t="str">
        <f ca="1">IFERROR(__xludf.DUMMYFUNCTION("""COMPUTED_VALUE"""),"HUANTAN")</f>
        <v>HUANTAN</v>
      </c>
      <c r="H1480" s="25" t="str">
        <f ca="1">IFERROR(__xludf.DUMMYFUNCTION("""COMPUTED_VALUE"""),"RURAL")</f>
        <v>RURAL</v>
      </c>
      <c r="I1480" s="25" t="str">
        <f ca="1">IFERROR(__xludf.DUMMYFUNCTION("""COMPUTED_VALUE"""),"Prioridad 3")</f>
        <v>Prioridad 3</v>
      </c>
      <c r="J1480" s="42" t="s">
        <v>260</v>
      </c>
    </row>
    <row r="1481" spans="2:10">
      <c r="B1481" s="25" t="str">
        <f ca="1">IFERROR(__xludf.DUMMYFUNCTION("""COMPUTED_VALUE"""),"MUNICIPALIDAD DISTRITAL")</f>
        <v>MUNICIPALIDAD DISTRITAL</v>
      </c>
      <c r="C1481" s="25" t="str">
        <f ca="1">IFERROR(__xludf.DUMMYFUNCTION("""COMPUTED_VALUE"""),"MUNICIPALIDAD DISTRITAL DE HUAÑEC")</f>
        <v>MUNICIPALIDAD DISTRITAL DE HUAÑEC</v>
      </c>
      <c r="D1481" s="25" t="str">
        <f ca="1">IFERROR(__xludf.DUMMYFUNCTION("""COMPUTED_VALUE"""),"SEDE CENTRAL")</f>
        <v>SEDE CENTRAL</v>
      </c>
      <c r="E1481" s="25" t="str">
        <f ca="1">IFERROR(__xludf.DUMMYFUNCTION("""COMPUTED_VALUE"""),"LIMA")</f>
        <v>LIMA</v>
      </c>
      <c r="F1481" s="25" t="str">
        <f ca="1">IFERROR(__xludf.DUMMYFUNCTION("""COMPUTED_VALUE"""),"YAUYOS")</f>
        <v>YAUYOS</v>
      </c>
      <c r="G1481" s="25" t="str">
        <f ca="1">IFERROR(__xludf.DUMMYFUNCTION("""COMPUTED_VALUE"""),"HUAÑEC")</f>
        <v>HUAÑEC</v>
      </c>
      <c r="H1481" s="25" t="str">
        <f ca="1">IFERROR(__xludf.DUMMYFUNCTION("""COMPUTED_VALUE"""),"RURAL")</f>
        <v>RURAL</v>
      </c>
      <c r="I1481" s="25" t="str">
        <f ca="1">IFERROR(__xludf.DUMMYFUNCTION("""COMPUTED_VALUE"""),"Prioridad 4")</f>
        <v>Prioridad 4</v>
      </c>
      <c r="J1481" s="42" t="s">
        <v>260</v>
      </c>
    </row>
    <row r="1482" spans="2:10">
      <c r="B1482" s="25" t="str">
        <f ca="1">IFERROR(__xludf.DUMMYFUNCTION("""COMPUTED_VALUE"""),"MUNICIPALIDAD DISTRITAL")</f>
        <v>MUNICIPALIDAD DISTRITAL</v>
      </c>
      <c r="C1482" s="25" t="str">
        <f ca="1">IFERROR(__xludf.DUMMYFUNCTION("""COMPUTED_VALUE"""),"MUNICIPALIDAD DISTRITAL DE LARAOS EN YAUYOS")</f>
        <v>MUNICIPALIDAD DISTRITAL DE LARAOS EN YAUYOS</v>
      </c>
      <c r="D1482" s="25" t="str">
        <f ca="1">IFERROR(__xludf.DUMMYFUNCTION("""COMPUTED_VALUE"""),"SEDE CENTRAL")</f>
        <v>SEDE CENTRAL</v>
      </c>
      <c r="E1482" s="25" t="str">
        <f ca="1">IFERROR(__xludf.DUMMYFUNCTION("""COMPUTED_VALUE"""),"LIMA")</f>
        <v>LIMA</v>
      </c>
      <c r="F1482" s="25" t="str">
        <f ca="1">IFERROR(__xludf.DUMMYFUNCTION("""COMPUTED_VALUE"""),"YAUYOS")</f>
        <v>YAUYOS</v>
      </c>
      <c r="G1482" s="25" t="str">
        <f ca="1">IFERROR(__xludf.DUMMYFUNCTION("""COMPUTED_VALUE"""),"LARAOS")</f>
        <v>LARAOS</v>
      </c>
      <c r="H1482" s="25" t="str">
        <f ca="1">IFERROR(__xludf.DUMMYFUNCTION("""COMPUTED_VALUE"""),"RURAL")</f>
        <v>RURAL</v>
      </c>
      <c r="I1482" s="25" t="str">
        <f ca="1">IFERROR(__xludf.DUMMYFUNCTION("""COMPUTED_VALUE"""),"Prioridad 2")</f>
        <v>Prioridad 2</v>
      </c>
      <c r="J1482" s="42" t="s">
        <v>260</v>
      </c>
    </row>
    <row r="1483" spans="2:10">
      <c r="B1483" s="25" t="str">
        <f ca="1">IFERROR(__xludf.DUMMYFUNCTION("""COMPUTED_VALUE"""),"MUNICIPALIDAD DISTRITAL")</f>
        <v>MUNICIPALIDAD DISTRITAL</v>
      </c>
      <c r="C1483" s="25" t="str">
        <f ca="1">IFERROR(__xludf.DUMMYFUNCTION("""COMPUTED_VALUE"""),"MUNICIPALIDAD DISTRITAL DE LINCHA")</f>
        <v>MUNICIPALIDAD DISTRITAL DE LINCHA</v>
      </c>
      <c r="D1483" s="25" t="str">
        <f ca="1">IFERROR(__xludf.DUMMYFUNCTION("""COMPUTED_VALUE"""),"SEDE CENTRAL")</f>
        <v>SEDE CENTRAL</v>
      </c>
      <c r="E1483" s="25" t="str">
        <f ca="1">IFERROR(__xludf.DUMMYFUNCTION("""COMPUTED_VALUE"""),"LIMA")</f>
        <v>LIMA</v>
      </c>
      <c r="F1483" s="25" t="str">
        <f ca="1">IFERROR(__xludf.DUMMYFUNCTION("""COMPUTED_VALUE"""),"YAUYOS")</f>
        <v>YAUYOS</v>
      </c>
      <c r="G1483" s="25" t="str">
        <f ca="1">IFERROR(__xludf.DUMMYFUNCTION("""COMPUTED_VALUE"""),"LINCHA")</f>
        <v>LINCHA</v>
      </c>
      <c r="H1483" s="25" t="str">
        <f ca="1">IFERROR(__xludf.DUMMYFUNCTION("""COMPUTED_VALUE"""),"RURAL")</f>
        <v>RURAL</v>
      </c>
      <c r="I1483" s="25" t="str">
        <f ca="1">IFERROR(__xludf.DUMMYFUNCTION("""COMPUTED_VALUE"""),"Prioridad 5")</f>
        <v>Prioridad 5</v>
      </c>
      <c r="J1483" s="42" t="s">
        <v>260</v>
      </c>
    </row>
    <row r="1484" spans="2:10">
      <c r="B1484" s="25" t="str">
        <f ca="1">IFERROR(__xludf.DUMMYFUNCTION("""COMPUTED_VALUE"""),"MUNICIPALIDAD DISTRITAL")</f>
        <v>MUNICIPALIDAD DISTRITAL</v>
      </c>
      <c r="C1484" s="25" t="str">
        <f ca="1">IFERROR(__xludf.DUMMYFUNCTION("""COMPUTED_VALUE"""),"MUNICIPALIDAD DISTRITAL DE MADEAN")</f>
        <v>MUNICIPALIDAD DISTRITAL DE MADEAN</v>
      </c>
      <c r="D1484" s="25" t="str">
        <f ca="1">IFERROR(__xludf.DUMMYFUNCTION("""COMPUTED_VALUE"""),"SEDE CENTRAL")</f>
        <v>SEDE CENTRAL</v>
      </c>
      <c r="E1484" s="25" t="str">
        <f ca="1">IFERROR(__xludf.DUMMYFUNCTION("""COMPUTED_VALUE"""),"LIMA")</f>
        <v>LIMA</v>
      </c>
      <c r="F1484" s="25" t="str">
        <f ca="1">IFERROR(__xludf.DUMMYFUNCTION("""COMPUTED_VALUE"""),"YAUYOS")</f>
        <v>YAUYOS</v>
      </c>
      <c r="G1484" s="25" t="str">
        <f ca="1">IFERROR(__xludf.DUMMYFUNCTION("""COMPUTED_VALUE"""),"MADEAN")</f>
        <v>MADEAN</v>
      </c>
      <c r="H1484" s="25" t="str">
        <f ca="1">IFERROR(__xludf.DUMMYFUNCTION("""COMPUTED_VALUE"""),"RURAL")</f>
        <v>RURAL</v>
      </c>
      <c r="I1484" s="25" t="str">
        <f ca="1">IFERROR(__xludf.DUMMYFUNCTION("""COMPUTED_VALUE"""),"Prioridad 5")</f>
        <v>Prioridad 5</v>
      </c>
      <c r="J1484" s="42" t="s">
        <v>260</v>
      </c>
    </row>
    <row r="1485" spans="2:10">
      <c r="B1485" s="25" t="str">
        <f ca="1">IFERROR(__xludf.DUMMYFUNCTION("""COMPUTED_VALUE"""),"MUNICIPALIDAD DISTRITAL")</f>
        <v>MUNICIPALIDAD DISTRITAL</v>
      </c>
      <c r="C1485" s="25" t="str">
        <f ca="1">IFERROR(__xludf.DUMMYFUNCTION("""COMPUTED_VALUE"""),"MUNICIPALIDAD DISTRITAL DE MIRAFLORES EN YAUYOS")</f>
        <v>MUNICIPALIDAD DISTRITAL DE MIRAFLORES EN YAUYOS</v>
      </c>
      <c r="D1485" s="25" t="str">
        <f ca="1">IFERROR(__xludf.DUMMYFUNCTION("""COMPUTED_VALUE"""),"SEDE CENTRAL")</f>
        <v>SEDE CENTRAL</v>
      </c>
      <c r="E1485" s="25" t="str">
        <f ca="1">IFERROR(__xludf.DUMMYFUNCTION("""COMPUTED_VALUE"""),"LIMA")</f>
        <v>LIMA</v>
      </c>
      <c r="F1485" s="25" t="str">
        <f ca="1">IFERROR(__xludf.DUMMYFUNCTION("""COMPUTED_VALUE"""),"YAUYOS")</f>
        <v>YAUYOS</v>
      </c>
      <c r="G1485" s="25" t="str">
        <f ca="1">IFERROR(__xludf.DUMMYFUNCTION("""COMPUTED_VALUE"""),"MIRAFLORES")</f>
        <v>MIRAFLORES</v>
      </c>
      <c r="H1485" s="25" t="str">
        <f ca="1">IFERROR(__xludf.DUMMYFUNCTION("""COMPUTED_VALUE"""),"RURAL")</f>
        <v>RURAL</v>
      </c>
      <c r="I1485" s="25" t="str">
        <f ca="1">IFERROR(__xludf.DUMMYFUNCTION("""COMPUTED_VALUE"""),"Prioridad 4")</f>
        <v>Prioridad 4</v>
      </c>
      <c r="J1485" s="42" t="s">
        <v>260</v>
      </c>
    </row>
    <row r="1486" spans="2:10">
      <c r="B1486" s="25" t="str">
        <f ca="1">IFERROR(__xludf.DUMMYFUNCTION("""COMPUTED_VALUE"""),"MUNICIPALIDAD DISTRITAL")</f>
        <v>MUNICIPALIDAD DISTRITAL</v>
      </c>
      <c r="C1486" s="25" t="str">
        <f ca="1">IFERROR(__xludf.DUMMYFUNCTION("""COMPUTED_VALUE"""),"MUNICIPALIDAD DISTRITAL DE OMAS")</f>
        <v>MUNICIPALIDAD DISTRITAL DE OMAS</v>
      </c>
      <c r="D1486" s="25" t="str">
        <f ca="1">IFERROR(__xludf.DUMMYFUNCTION("""COMPUTED_VALUE"""),"SEDE CENTRAL")</f>
        <v>SEDE CENTRAL</v>
      </c>
      <c r="E1486" s="25" t="str">
        <f ca="1">IFERROR(__xludf.DUMMYFUNCTION("""COMPUTED_VALUE"""),"LIMA")</f>
        <v>LIMA</v>
      </c>
      <c r="F1486" s="25" t="str">
        <f ca="1">IFERROR(__xludf.DUMMYFUNCTION("""COMPUTED_VALUE"""),"YAUYOS")</f>
        <v>YAUYOS</v>
      </c>
      <c r="G1486" s="25" t="str">
        <f ca="1">IFERROR(__xludf.DUMMYFUNCTION("""COMPUTED_VALUE"""),"OMAS")</f>
        <v>OMAS</v>
      </c>
      <c r="H1486" s="25" t="str">
        <f ca="1">IFERROR(__xludf.DUMMYFUNCTION("""COMPUTED_VALUE"""),"RURAL")</f>
        <v>RURAL</v>
      </c>
      <c r="I1486" s="25" t="str">
        <f ca="1">IFERROR(__xludf.DUMMYFUNCTION("""COMPUTED_VALUE"""),"Prioridad 3")</f>
        <v>Prioridad 3</v>
      </c>
      <c r="J1486" s="42" t="s">
        <v>260</v>
      </c>
    </row>
    <row r="1487" spans="2:10">
      <c r="B1487" s="25" t="str">
        <f ca="1">IFERROR(__xludf.DUMMYFUNCTION("""COMPUTED_VALUE"""),"MUNICIPALIDAD DISTRITAL")</f>
        <v>MUNICIPALIDAD DISTRITAL</v>
      </c>
      <c r="C1487" s="25" t="str">
        <f ca="1">IFERROR(__xludf.DUMMYFUNCTION("""COMPUTED_VALUE"""),"MUNICIPALIDAD DISTRITAL DE PUTINZA")</f>
        <v>MUNICIPALIDAD DISTRITAL DE PUTINZA</v>
      </c>
      <c r="D1487" s="25" t="str">
        <f ca="1">IFERROR(__xludf.DUMMYFUNCTION("""COMPUTED_VALUE"""),"SEDE CENTRAL")</f>
        <v>SEDE CENTRAL</v>
      </c>
      <c r="E1487" s="25" t="str">
        <f ca="1">IFERROR(__xludf.DUMMYFUNCTION("""COMPUTED_VALUE"""),"LIMA")</f>
        <v>LIMA</v>
      </c>
      <c r="F1487" s="25" t="str">
        <f ca="1">IFERROR(__xludf.DUMMYFUNCTION("""COMPUTED_VALUE"""),"YAUYOS")</f>
        <v>YAUYOS</v>
      </c>
      <c r="G1487" s="25" t="str">
        <f ca="1">IFERROR(__xludf.DUMMYFUNCTION("""COMPUTED_VALUE"""),"PUTINZA")</f>
        <v>PUTINZA</v>
      </c>
      <c r="H1487" s="25" t="str">
        <f ca="1">IFERROR(__xludf.DUMMYFUNCTION("""COMPUTED_VALUE"""),"RURAL")</f>
        <v>RURAL</v>
      </c>
      <c r="I1487" s="25" t="str">
        <f ca="1">IFERROR(__xludf.DUMMYFUNCTION("""COMPUTED_VALUE"""),"Prioridad 2")</f>
        <v>Prioridad 2</v>
      </c>
      <c r="J1487" s="42" t="s">
        <v>260</v>
      </c>
    </row>
    <row r="1488" spans="2:10">
      <c r="B1488" s="25" t="str">
        <f ca="1">IFERROR(__xludf.DUMMYFUNCTION("""COMPUTED_VALUE"""),"MUNICIPALIDAD DISTRITAL")</f>
        <v>MUNICIPALIDAD DISTRITAL</v>
      </c>
      <c r="C1488" s="25" t="str">
        <f ca="1">IFERROR(__xludf.DUMMYFUNCTION("""COMPUTED_VALUE"""),"MUNICIPALIDAD DISTRITAL DE QUINCHES")</f>
        <v>MUNICIPALIDAD DISTRITAL DE QUINCHES</v>
      </c>
      <c r="D1488" s="25" t="str">
        <f ca="1">IFERROR(__xludf.DUMMYFUNCTION("""COMPUTED_VALUE"""),"SEDE CENTRAL")</f>
        <v>SEDE CENTRAL</v>
      </c>
      <c r="E1488" s="25" t="str">
        <f ca="1">IFERROR(__xludf.DUMMYFUNCTION("""COMPUTED_VALUE"""),"LIMA")</f>
        <v>LIMA</v>
      </c>
      <c r="F1488" s="25" t="str">
        <f ca="1">IFERROR(__xludf.DUMMYFUNCTION("""COMPUTED_VALUE"""),"YAUYOS")</f>
        <v>YAUYOS</v>
      </c>
      <c r="G1488" s="25" t="str">
        <f ca="1">IFERROR(__xludf.DUMMYFUNCTION("""COMPUTED_VALUE"""),"QUINCHES")</f>
        <v>QUINCHES</v>
      </c>
      <c r="H1488" s="25" t="str">
        <f ca="1">IFERROR(__xludf.DUMMYFUNCTION("""COMPUTED_VALUE"""),"RURAL")</f>
        <v>RURAL</v>
      </c>
      <c r="I1488" s="25" t="str">
        <f ca="1">IFERROR(__xludf.DUMMYFUNCTION("""COMPUTED_VALUE"""),"Prioridad 5")</f>
        <v>Prioridad 5</v>
      </c>
      <c r="J1488" s="42" t="s">
        <v>260</v>
      </c>
    </row>
    <row r="1489" spans="2:10">
      <c r="B1489" s="25" t="str">
        <f ca="1">IFERROR(__xludf.DUMMYFUNCTION("""COMPUTED_VALUE"""),"MUNICIPALIDAD DISTRITAL")</f>
        <v>MUNICIPALIDAD DISTRITAL</v>
      </c>
      <c r="C1489" s="25" t="str">
        <f ca="1">IFERROR(__xludf.DUMMYFUNCTION("""COMPUTED_VALUE"""),"MUNICIPALIDAD DISTRITAL DE QUINOCAY")</f>
        <v>MUNICIPALIDAD DISTRITAL DE QUINOCAY</v>
      </c>
      <c r="D1489" s="25" t="str">
        <f ca="1">IFERROR(__xludf.DUMMYFUNCTION("""COMPUTED_VALUE"""),"SEDE CENTRAL")</f>
        <v>SEDE CENTRAL</v>
      </c>
      <c r="E1489" s="25" t="str">
        <f ca="1">IFERROR(__xludf.DUMMYFUNCTION("""COMPUTED_VALUE"""),"LIMA")</f>
        <v>LIMA</v>
      </c>
      <c r="F1489" s="25" t="str">
        <f ca="1">IFERROR(__xludf.DUMMYFUNCTION("""COMPUTED_VALUE"""),"YAUYOS")</f>
        <v>YAUYOS</v>
      </c>
      <c r="G1489" s="25" t="str">
        <f ca="1">IFERROR(__xludf.DUMMYFUNCTION("""COMPUTED_VALUE"""),"QUINOCAY")</f>
        <v>QUINOCAY</v>
      </c>
      <c r="H1489" s="25" t="str">
        <f ca="1">IFERROR(__xludf.DUMMYFUNCTION("""COMPUTED_VALUE"""),"RURAL")</f>
        <v>RURAL</v>
      </c>
      <c r="I1489" s="25" t="str">
        <f ca="1">IFERROR(__xludf.DUMMYFUNCTION("""COMPUTED_VALUE"""),"Prioridad 2")</f>
        <v>Prioridad 2</v>
      </c>
      <c r="J1489" s="42" t="s">
        <v>260</v>
      </c>
    </row>
    <row r="1490" spans="2:10">
      <c r="B1490" s="25" t="str">
        <f ca="1">IFERROR(__xludf.DUMMYFUNCTION("""COMPUTED_VALUE"""),"MUNICIPALIDAD DISTRITAL")</f>
        <v>MUNICIPALIDAD DISTRITAL</v>
      </c>
      <c r="C1490" s="25" t="str">
        <f ca="1">IFERROR(__xludf.DUMMYFUNCTION("""COMPUTED_VALUE"""),"MUNICIPALIDAD DISTRITAL DE SAN JOAQUIN")</f>
        <v>MUNICIPALIDAD DISTRITAL DE SAN JOAQUIN</v>
      </c>
      <c r="D1490" s="25" t="str">
        <f ca="1">IFERROR(__xludf.DUMMYFUNCTION("""COMPUTED_VALUE"""),"SEDE CENTRAL")</f>
        <v>SEDE CENTRAL</v>
      </c>
      <c r="E1490" s="25" t="str">
        <f ca="1">IFERROR(__xludf.DUMMYFUNCTION("""COMPUTED_VALUE"""),"LIMA")</f>
        <v>LIMA</v>
      </c>
      <c r="F1490" s="25" t="str">
        <f ca="1">IFERROR(__xludf.DUMMYFUNCTION("""COMPUTED_VALUE"""),"YAUYOS")</f>
        <v>YAUYOS</v>
      </c>
      <c r="G1490" s="25" t="str">
        <f ca="1">IFERROR(__xludf.DUMMYFUNCTION("""COMPUTED_VALUE"""),"SAN JOAQUIN")</f>
        <v>SAN JOAQUIN</v>
      </c>
      <c r="H1490" s="25" t="str">
        <f ca="1">IFERROR(__xludf.DUMMYFUNCTION("""COMPUTED_VALUE"""),"RURAL")</f>
        <v>RURAL</v>
      </c>
      <c r="I1490" s="25" t="str">
        <f ca="1">IFERROR(__xludf.DUMMYFUNCTION("""COMPUTED_VALUE"""),"Prioridad 4")</f>
        <v>Prioridad 4</v>
      </c>
      <c r="J1490" s="42" t="s">
        <v>260</v>
      </c>
    </row>
    <row r="1491" spans="2:10">
      <c r="B1491" s="25" t="str">
        <f ca="1">IFERROR(__xludf.DUMMYFUNCTION("""COMPUTED_VALUE"""),"MUNICIPALIDAD DISTRITAL")</f>
        <v>MUNICIPALIDAD DISTRITAL</v>
      </c>
      <c r="C1491" s="25" t="str">
        <f ca="1">IFERROR(__xludf.DUMMYFUNCTION("""COMPUTED_VALUE"""),"MUNICIPALIDAD DISTRITAL DE SAN PEDRO DE PILAS")</f>
        <v>MUNICIPALIDAD DISTRITAL DE SAN PEDRO DE PILAS</v>
      </c>
      <c r="D1491" s="25" t="str">
        <f ca="1">IFERROR(__xludf.DUMMYFUNCTION("""COMPUTED_VALUE"""),"SEDE CENTRAL")</f>
        <v>SEDE CENTRAL</v>
      </c>
      <c r="E1491" s="25" t="str">
        <f ca="1">IFERROR(__xludf.DUMMYFUNCTION("""COMPUTED_VALUE"""),"LIMA")</f>
        <v>LIMA</v>
      </c>
      <c r="F1491" s="25" t="str">
        <f ca="1">IFERROR(__xludf.DUMMYFUNCTION("""COMPUTED_VALUE"""),"YAUYOS")</f>
        <v>YAUYOS</v>
      </c>
      <c r="G1491" s="25" t="str">
        <f ca="1">IFERROR(__xludf.DUMMYFUNCTION("""COMPUTED_VALUE"""),"SAN PEDRO DE PILAS")</f>
        <v>SAN PEDRO DE PILAS</v>
      </c>
      <c r="H1491" s="25" t="str">
        <f ca="1">IFERROR(__xludf.DUMMYFUNCTION("""COMPUTED_VALUE"""),"RURAL")</f>
        <v>RURAL</v>
      </c>
      <c r="I1491" s="25" t="str">
        <f ca="1">IFERROR(__xludf.DUMMYFUNCTION("""COMPUTED_VALUE"""),"Prioridad 4")</f>
        <v>Prioridad 4</v>
      </c>
      <c r="J1491" s="42" t="s">
        <v>260</v>
      </c>
    </row>
    <row r="1492" spans="2:10">
      <c r="B1492" s="25" t="str">
        <f ca="1">IFERROR(__xludf.DUMMYFUNCTION("""COMPUTED_VALUE"""),"MUNICIPALIDAD DISTRITAL")</f>
        <v>MUNICIPALIDAD DISTRITAL</v>
      </c>
      <c r="C1492" s="25" t="str">
        <f ca="1">IFERROR(__xludf.DUMMYFUNCTION("""COMPUTED_VALUE"""),"MUNICIPALIDAD DISTRITAL DE TANTA")</f>
        <v>MUNICIPALIDAD DISTRITAL DE TANTA</v>
      </c>
      <c r="D1492" s="25" t="str">
        <f ca="1">IFERROR(__xludf.DUMMYFUNCTION("""COMPUTED_VALUE"""),"SEDE CENTRAL")</f>
        <v>SEDE CENTRAL</v>
      </c>
      <c r="E1492" s="25" t="str">
        <f ca="1">IFERROR(__xludf.DUMMYFUNCTION("""COMPUTED_VALUE"""),"LIMA")</f>
        <v>LIMA</v>
      </c>
      <c r="F1492" s="25" t="str">
        <f ca="1">IFERROR(__xludf.DUMMYFUNCTION("""COMPUTED_VALUE"""),"YAUYOS")</f>
        <v>YAUYOS</v>
      </c>
      <c r="G1492" s="25" t="str">
        <f ca="1">IFERROR(__xludf.DUMMYFUNCTION("""COMPUTED_VALUE"""),"TANTA")</f>
        <v>TANTA</v>
      </c>
      <c r="H1492" s="25" t="str">
        <f ca="1">IFERROR(__xludf.DUMMYFUNCTION("""COMPUTED_VALUE"""),"RURAL")</f>
        <v>RURAL</v>
      </c>
      <c r="I1492" s="25" t="str">
        <f ca="1">IFERROR(__xludf.DUMMYFUNCTION("""COMPUTED_VALUE"""),"Prioridad 2")</f>
        <v>Prioridad 2</v>
      </c>
      <c r="J1492" s="42" t="s">
        <v>260</v>
      </c>
    </row>
    <row r="1493" spans="2:10">
      <c r="B1493" s="25" t="str">
        <f ca="1">IFERROR(__xludf.DUMMYFUNCTION("""COMPUTED_VALUE"""),"MUNICIPALIDAD DISTRITAL")</f>
        <v>MUNICIPALIDAD DISTRITAL</v>
      </c>
      <c r="C1493" s="25" t="str">
        <f ca="1">IFERROR(__xludf.DUMMYFUNCTION("""COMPUTED_VALUE"""),"MUNICIPALIDAD DISTRITAL DE TAURIPAMPA")</f>
        <v>MUNICIPALIDAD DISTRITAL DE TAURIPAMPA</v>
      </c>
      <c r="D1493" s="25" t="str">
        <f ca="1">IFERROR(__xludf.DUMMYFUNCTION("""COMPUTED_VALUE"""),"SEDE CENTRAL")</f>
        <v>SEDE CENTRAL</v>
      </c>
      <c r="E1493" s="25" t="str">
        <f ca="1">IFERROR(__xludf.DUMMYFUNCTION("""COMPUTED_VALUE"""),"LIMA")</f>
        <v>LIMA</v>
      </c>
      <c r="F1493" s="25" t="str">
        <f ca="1">IFERROR(__xludf.DUMMYFUNCTION("""COMPUTED_VALUE"""),"YAUYOS")</f>
        <v>YAUYOS</v>
      </c>
      <c r="G1493" s="25" t="str">
        <f ca="1">IFERROR(__xludf.DUMMYFUNCTION("""COMPUTED_VALUE"""),"TAURIPAMPA")</f>
        <v>TAURIPAMPA</v>
      </c>
      <c r="H1493" s="25" t="str">
        <f ca="1">IFERROR(__xludf.DUMMYFUNCTION("""COMPUTED_VALUE"""),"RURAL")</f>
        <v>RURAL</v>
      </c>
      <c r="I1493" s="25" t="str">
        <f ca="1">IFERROR(__xludf.DUMMYFUNCTION("""COMPUTED_VALUE"""),"Prioridad 2")</f>
        <v>Prioridad 2</v>
      </c>
      <c r="J1493" s="42" t="s">
        <v>260</v>
      </c>
    </row>
    <row r="1494" spans="2:10">
      <c r="B1494" s="25" t="str">
        <f ca="1">IFERROR(__xludf.DUMMYFUNCTION("""COMPUTED_VALUE"""),"MUNICIPALIDAD DISTRITAL")</f>
        <v>MUNICIPALIDAD DISTRITAL</v>
      </c>
      <c r="C1494" s="25" t="str">
        <f ca="1">IFERROR(__xludf.DUMMYFUNCTION("""COMPUTED_VALUE"""),"MUNICIPALIDAD DISTRITAL DE TOMAS")</f>
        <v>MUNICIPALIDAD DISTRITAL DE TOMAS</v>
      </c>
      <c r="D1494" s="25" t="str">
        <f ca="1">IFERROR(__xludf.DUMMYFUNCTION("""COMPUTED_VALUE"""),"SEDE CENTRAL")</f>
        <v>SEDE CENTRAL</v>
      </c>
      <c r="E1494" s="25" t="str">
        <f ca="1">IFERROR(__xludf.DUMMYFUNCTION("""COMPUTED_VALUE"""),"LIMA")</f>
        <v>LIMA</v>
      </c>
      <c r="F1494" s="25" t="str">
        <f ca="1">IFERROR(__xludf.DUMMYFUNCTION("""COMPUTED_VALUE"""),"YAUYOS")</f>
        <v>YAUYOS</v>
      </c>
      <c r="G1494" s="25" t="str">
        <f ca="1">IFERROR(__xludf.DUMMYFUNCTION("""COMPUTED_VALUE"""),"TOMAS")</f>
        <v>TOMAS</v>
      </c>
      <c r="H1494" s="25" t="str">
        <f ca="1">IFERROR(__xludf.DUMMYFUNCTION("""COMPUTED_VALUE"""),"RURAL")</f>
        <v>RURAL</v>
      </c>
      <c r="I1494" s="25" t="str">
        <f ca="1">IFERROR(__xludf.DUMMYFUNCTION("""COMPUTED_VALUE"""),"Prioridad 5")</f>
        <v>Prioridad 5</v>
      </c>
      <c r="J1494" s="42" t="s">
        <v>260</v>
      </c>
    </row>
    <row r="1495" spans="2:10">
      <c r="B1495" s="25" t="str">
        <f ca="1">IFERROR(__xludf.DUMMYFUNCTION("""COMPUTED_VALUE"""),"MUNICIPALIDAD DISTRITAL")</f>
        <v>MUNICIPALIDAD DISTRITAL</v>
      </c>
      <c r="C1495" s="25" t="str">
        <f ca="1">IFERROR(__xludf.DUMMYFUNCTION("""COMPUTED_VALUE"""),"MUNICIPALIDAD DISTRITAL DE TUPE")</f>
        <v>MUNICIPALIDAD DISTRITAL DE TUPE</v>
      </c>
      <c r="D1495" s="25" t="str">
        <f ca="1">IFERROR(__xludf.DUMMYFUNCTION("""COMPUTED_VALUE"""),"SEDE CENTRAL")</f>
        <v>SEDE CENTRAL</v>
      </c>
      <c r="E1495" s="25" t="str">
        <f ca="1">IFERROR(__xludf.DUMMYFUNCTION("""COMPUTED_VALUE"""),"LIMA")</f>
        <v>LIMA</v>
      </c>
      <c r="F1495" s="25" t="str">
        <f ca="1">IFERROR(__xludf.DUMMYFUNCTION("""COMPUTED_VALUE"""),"YAUYOS")</f>
        <v>YAUYOS</v>
      </c>
      <c r="G1495" s="25" t="str">
        <f ca="1">IFERROR(__xludf.DUMMYFUNCTION("""COMPUTED_VALUE"""),"TUPE")</f>
        <v>TUPE</v>
      </c>
      <c r="H1495" s="25" t="str">
        <f ca="1">IFERROR(__xludf.DUMMYFUNCTION("""COMPUTED_VALUE"""),"RURAL")</f>
        <v>RURAL</v>
      </c>
      <c r="I1495" s="25" t="str">
        <f ca="1">IFERROR(__xludf.DUMMYFUNCTION("""COMPUTED_VALUE"""),"Prioridad 5")</f>
        <v>Prioridad 5</v>
      </c>
      <c r="J1495" s="42" t="s">
        <v>260</v>
      </c>
    </row>
    <row r="1496" spans="2:10">
      <c r="B1496" s="25" t="str">
        <f ca="1">IFERROR(__xludf.DUMMYFUNCTION("""COMPUTED_VALUE"""),"MUNICIPALIDAD DISTRITAL")</f>
        <v>MUNICIPALIDAD DISTRITAL</v>
      </c>
      <c r="C1496" s="25" t="str">
        <f ca="1">IFERROR(__xludf.DUMMYFUNCTION("""COMPUTED_VALUE"""),"MUNICIPALIDAD DISTRITAL DE VIÑAC")</f>
        <v>MUNICIPALIDAD DISTRITAL DE VIÑAC</v>
      </c>
      <c r="D1496" s="25" t="str">
        <f ca="1">IFERROR(__xludf.DUMMYFUNCTION("""COMPUTED_VALUE"""),"SEDE CENTRAL")</f>
        <v>SEDE CENTRAL</v>
      </c>
      <c r="E1496" s="25" t="str">
        <f ca="1">IFERROR(__xludf.DUMMYFUNCTION("""COMPUTED_VALUE"""),"LIMA")</f>
        <v>LIMA</v>
      </c>
      <c r="F1496" s="25" t="str">
        <f ca="1">IFERROR(__xludf.DUMMYFUNCTION("""COMPUTED_VALUE"""),"YAUYOS")</f>
        <v>YAUYOS</v>
      </c>
      <c r="G1496" s="25" t="str">
        <f ca="1">IFERROR(__xludf.DUMMYFUNCTION("""COMPUTED_VALUE"""),"VIÑAC")</f>
        <v>VIÑAC</v>
      </c>
      <c r="H1496" s="25" t="str">
        <f ca="1">IFERROR(__xludf.DUMMYFUNCTION("""COMPUTED_VALUE"""),"RURAL")</f>
        <v>RURAL</v>
      </c>
      <c r="I1496" s="25" t="str">
        <f ca="1">IFERROR(__xludf.DUMMYFUNCTION("""COMPUTED_VALUE"""),"Prioridad 5")</f>
        <v>Prioridad 5</v>
      </c>
      <c r="J1496" s="42" t="s">
        <v>260</v>
      </c>
    </row>
    <row r="1497" spans="2:10">
      <c r="B1497" s="25" t="str">
        <f ca="1">IFERROR(__xludf.DUMMYFUNCTION("""COMPUTED_VALUE"""),"MUNICIPALIDAD DISTRITAL")</f>
        <v>MUNICIPALIDAD DISTRITAL</v>
      </c>
      <c r="C1497" s="25" t="str">
        <f ca="1">IFERROR(__xludf.DUMMYFUNCTION("""COMPUTED_VALUE"""),"MUNICIPALIDAD DISTRITAL DE VITIS")</f>
        <v>MUNICIPALIDAD DISTRITAL DE VITIS</v>
      </c>
      <c r="D1497" s="25" t="str">
        <f ca="1">IFERROR(__xludf.DUMMYFUNCTION("""COMPUTED_VALUE"""),"SEDE CENTRAL")</f>
        <v>SEDE CENTRAL</v>
      </c>
      <c r="E1497" s="25" t="str">
        <f ca="1">IFERROR(__xludf.DUMMYFUNCTION("""COMPUTED_VALUE"""),"LIMA")</f>
        <v>LIMA</v>
      </c>
      <c r="F1497" s="25" t="str">
        <f ca="1">IFERROR(__xludf.DUMMYFUNCTION("""COMPUTED_VALUE"""),"YAUYOS")</f>
        <v>YAUYOS</v>
      </c>
      <c r="G1497" s="25" t="str">
        <f ca="1">IFERROR(__xludf.DUMMYFUNCTION("""COMPUTED_VALUE"""),"VITIS")</f>
        <v>VITIS</v>
      </c>
      <c r="H1497" s="25" t="str">
        <f ca="1">IFERROR(__xludf.DUMMYFUNCTION("""COMPUTED_VALUE"""),"RURAL")</f>
        <v>RURAL</v>
      </c>
      <c r="I1497" s="25" t="str">
        <f ca="1">IFERROR(__xludf.DUMMYFUNCTION("""COMPUTED_VALUE"""),"Prioridad 4")</f>
        <v>Prioridad 4</v>
      </c>
      <c r="J1497" s="42" t="s">
        <v>260</v>
      </c>
    </row>
    <row r="1498" spans="2:10">
      <c r="B1498" s="25" t="str">
        <f ca="1">IFERROR(__xludf.DUMMYFUNCTION("""COMPUTED_VALUE"""),"MUNICIPALIDAD PROVINCIAL")</f>
        <v>MUNICIPALIDAD PROVINCIAL</v>
      </c>
      <c r="C1498" s="25" t="str">
        <f ca="1">IFERROR(__xludf.DUMMYFUNCTION("""COMPUTED_VALUE"""),"MUNICIPALIDAD PROVINCIAL DE ALTO AMAZONAS")</f>
        <v>MUNICIPALIDAD PROVINCIAL DE ALTO AMAZONAS</v>
      </c>
      <c r="D1498" s="25" t="str">
        <f ca="1">IFERROR(__xludf.DUMMYFUNCTION("""COMPUTED_VALUE"""),"SAN MARTÍN")</f>
        <v>SAN MARTÍN</v>
      </c>
      <c r="E1498" s="25" t="str">
        <f ca="1">IFERROR(__xludf.DUMMYFUNCTION("""COMPUTED_VALUE"""),"LORETO")</f>
        <v>LORETO</v>
      </c>
      <c r="F1498" s="25" t="str">
        <f ca="1">IFERROR(__xludf.DUMMYFUNCTION("""COMPUTED_VALUE"""),"ALTO AMAZONAS")</f>
        <v>ALTO AMAZONAS</v>
      </c>
      <c r="G1498" s="25" t="str">
        <f ca="1">IFERROR(__xludf.DUMMYFUNCTION("""COMPUTED_VALUE"""),"YURIMAGUAS")</f>
        <v>YURIMAGUAS</v>
      </c>
      <c r="H1498" s="25" t="str">
        <f ca="1">IFERROR(__xludf.DUMMYFUNCTION("""COMPUTED_VALUE"""),"URBANO")</f>
        <v>URBANO</v>
      </c>
      <c r="I1498" s="25" t="str">
        <f ca="1">IFERROR(__xludf.DUMMYFUNCTION("""COMPUTED_VALUE"""),"Prioridad 1")</f>
        <v>Prioridad 1</v>
      </c>
      <c r="J1498" s="42" t="s">
        <v>260</v>
      </c>
    </row>
    <row r="1499" spans="2:10">
      <c r="B1499" s="25" t="str">
        <f ca="1">IFERROR(__xludf.DUMMYFUNCTION("""COMPUTED_VALUE"""),"MUNICIPALIDAD DISTRITAL")</f>
        <v>MUNICIPALIDAD DISTRITAL</v>
      </c>
      <c r="C1499" s="25" t="str">
        <f ca="1">IFERROR(__xludf.DUMMYFUNCTION("""COMPUTED_VALUE"""),"MUNICIPALIDAD DISTRITAL DE BALSAPUERTO")</f>
        <v>MUNICIPALIDAD DISTRITAL DE BALSAPUERTO</v>
      </c>
      <c r="D1499" s="25" t="str">
        <f ca="1">IFERROR(__xludf.DUMMYFUNCTION("""COMPUTED_VALUE"""),"SAN MARTÍN")</f>
        <v>SAN MARTÍN</v>
      </c>
      <c r="E1499" s="25" t="str">
        <f ca="1">IFERROR(__xludf.DUMMYFUNCTION("""COMPUTED_VALUE"""),"LORETO")</f>
        <v>LORETO</v>
      </c>
      <c r="F1499" s="25" t="str">
        <f ca="1">IFERROR(__xludf.DUMMYFUNCTION("""COMPUTED_VALUE"""),"ALTO AMAZONAS")</f>
        <v>ALTO AMAZONAS</v>
      </c>
      <c r="G1499" s="25" t="str">
        <f ca="1">IFERROR(__xludf.DUMMYFUNCTION("""COMPUTED_VALUE"""),"BALSAPUERTO")</f>
        <v>BALSAPUERTO</v>
      </c>
      <c r="H1499" s="25" t="str">
        <f ca="1">IFERROR(__xludf.DUMMYFUNCTION("""COMPUTED_VALUE"""),"RURAL")</f>
        <v>RURAL</v>
      </c>
      <c r="I1499" s="25" t="str">
        <f ca="1">IFERROR(__xludf.DUMMYFUNCTION("""COMPUTED_VALUE"""),"Prioridad 5")</f>
        <v>Prioridad 5</v>
      </c>
      <c r="J1499" s="42" t="s">
        <v>260</v>
      </c>
    </row>
    <row r="1500" spans="2:10">
      <c r="B1500" s="25" t="str">
        <f ca="1">IFERROR(__xludf.DUMMYFUNCTION("""COMPUTED_VALUE"""),"MUNICIPALIDAD DISTRITAL")</f>
        <v>MUNICIPALIDAD DISTRITAL</v>
      </c>
      <c r="C1500" s="25" t="str">
        <f ca="1">IFERROR(__xludf.DUMMYFUNCTION("""COMPUTED_VALUE"""),"MUNICIPALIDAD DISTRITAL DE JEBEROS")</f>
        <v>MUNICIPALIDAD DISTRITAL DE JEBEROS</v>
      </c>
      <c r="D1500" s="25" t="str">
        <f ca="1">IFERROR(__xludf.DUMMYFUNCTION("""COMPUTED_VALUE"""),"SAN MARTÍN")</f>
        <v>SAN MARTÍN</v>
      </c>
      <c r="E1500" s="25" t="str">
        <f ca="1">IFERROR(__xludf.DUMMYFUNCTION("""COMPUTED_VALUE"""),"LORETO")</f>
        <v>LORETO</v>
      </c>
      <c r="F1500" s="25" t="str">
        <f ca="1">IFERROR(__xludf.DUMMYFUNCTION("""COMPUTED_VALUE"""),"ALTO AMAZONAS")</f>
        <v>ALTO AMAZONAS</v>
      </c>
      <c r="G1500" s="25" t="str">
        <f ca="1">IFERROR(__xludf.DUMMYFUNCTION("""COMPUTED_VALUE"""),"JEBEROS")</f>
        <v>JEBEROS</v>
      </c>
      <c r="H1500" s="25" t="str">
        <f ca="1">IFERROR(__xludf.DUMMYFUNCTION("""COMPUTED_VALUE"""),"URBANO")</f>
        <v>URBANO</v>
      </c>
      <c r="I1500" s="25" t="str">
        <f ca="1">IFERROR(__xludf.DUMMYFUNCTION("""COMPUTED_VALUE"""),"Prioridad 5")</f>
        <v>Prioridad 5</v>
      </c>
      <c r="J1500" s="42" t="s">
        <v>260</v>
      </c>
    </row>
    <row r="1501" spans="2:10">
      <c r="B1501" s="25" t="str">
        <f ca="1">IFERROR(__xludf.DUMMYFUNCTION("""COMPUTED_VALUE"""),"MUNICIPALIDAD DISTRITAL")</f>
        <v>MUNICIPALIDAD DISTRITAL</v>
      </c>
      <c r="C1501" s="25" t="str">
        <f ca="1">IFERROR(__xludf.DUMMYFUNCTION("""COMPUTED_VALUE"""),"MUNICIPALIDAD DISTRITAL DE LAGUNAS EN ALTO AMAZONAS")</f>
        <v>MUNICIPALIDAD DISTRITAL DE LAGUNAS EN ALTO AMAZONAS</v>
      </c>
      <c r="D1501" s="25" t="str">
        <f ca="1">IFERROR(__xludf.DUMMYFUNCTION("""COMPUTED_VALUE"""),"SAN MARTÍN")</f>
        <v>SAN MARTÍN</v>
      </c>
      <c r="E1501" s="25" t="str">
        <f ca="1">IFERROR(__xludf.DUMMYFUNCTION("""COMPUTED_VALUE"""),"LORETO")</f>
        <v>LORETO</v>
      </c>
      <c r="F1501" s="25" t="str">
        <f ca="1">IFERROR(__xludf.DUMMYFUNCTION("""COMPUTED_VALUE"""),"ALTO AMAZONAS")</f>
        <v>ALTO AMAZONAS</v>
      </c>
      <c r="G1501" s="25" t="str">
        <f ca="1">IFERROR(__xludf.DUMMYFUNCTION("""COMPUTED_VALUE"""),"LAGUNAS")</f>
        <v>LAGUNAS</v>
      </c>
      <c r="H1501" s="25" t="str">
        <f ca="1">IFERROR(__xludf.DUMMYFUNCTION("""COMPUTED_VALUE"""),"URBANO")</f>
        <v>URBANO</v>
      </c>
      <c r="I1501" s="25" t="str">
        <f ca="1">IFERROR(__xludf.DUMMYFUNCTION("""COMPUTED_VALUE"""),"Prioridad 4")</f>
        <v>Prioridad 4</v>
      </c>
      <c r="J1501" s="42" t="s">
        <v>260</v>
      </c>
    </row>
    <row r="1502" spans="2:10">
      <c r="B1502" s="25" t="str">
        <f ca="1">IFERROR(__xludf.DUMMYFUNCTION("""COMPUTED_VALUE"""),"MUNICIPALIDAD DISTRITAL")</f>
        <v>MUNICIPALIDAD DISTRITAL</v>
      </c>
      <c r="C1502" s="25" t="str">
        <f ca="1">IFERROR(__xludf.DUMMYFUNCTION("""COMPUTED_VALUE"""),"MUNICIPALIDAD DISTRITAL DE SANTA CRUZ EN ALTO AMAZONAS")</f>
        <v>MUNICIPALIDAD DISTRITAL DE SANTA CRUZ EN ALTO AMAZONAS</v>
      </c>
      <c r="D1502" s="25" t="str">
        <f ca="1">IFERROR(__xludf.DUMMYFUNCTION("""COMPUTED_VALUE"""),"SAN MARTÍN")</f>
        <v>SAN MARTÍN</v>
      </c>
      <c r="E1502" s="25" t="str">
        <f ca="1">IFERROR(__xludf.DUMMYFUNCTION("""COMPUTED_VALUE"""),"LORETO")</f>
        <v>LORETO</v>
      </c>
      <c r="F1502" s="25" t="str">
        <f ca="1">IFERROR(__xludf.DUMMYFUNCTION("""COMPUTED_VALUE"""),"ALTO AMAZONAS")</f>
        <v>ALTO AMAZONAS</v>
      </c>
      <c r="G1502" s="25" t="str">
        <f ca="1">IFERROR(__xludf.DUMMYFUNCTION("""COMPUTED_VALUE"""),"SANTA CRUZ")</f>
        <v>SANTA CRUZ</v>
      </c>
      <c r="H1502" s="25" t="str">
        <f ca="1">IFERROR(__xludf.DUMMYFUNCTION("""COMPUTED_VALUE"""),"RURAL")</f>
        <v>RURAL</v>
      </c>
      <c r="I1502" s="25" t="str">
        <f ca="1">IFERROR(__xludf.DUMMYFUNCTION("""COMPUTED_VALUE"""),"Prioridad 5")</f>
        <v>Prioridad 5</v>
      </c>
      <c r="J1502" s="42" t="s">
        <v>260</v>
      </c>
    </row>
    <row r="1503" spans="2:10">
      <c r="B1503" s="25" t="str">
        <f ca="1">IFERROR(__xludf.DUMMYFUNCTION("""COMPUTED_VALUE"""),"MUNICIPALIDAD DISTRITAL")</f>
        <v>MUNICIPALIDAD DISTRITAL</v>
      </c>
      <c r="C1503" s="25" t="str">
        <f ca="1">IFERROR(__xludf.DUMMYFUNCTION("""COMPUTED_VALUE"""),"MUNICIPALIDAD DISTRITAL DE TENIENTE CESAR LOPEZ ROJAS")</f>
        <v>MUNICIPALIDAD DISTRITAL DE TENIENTE CESAR LOPEZ ROJAS</v>
      </c>
      <c r="D1503" s="25" t="str">
        <f ca="1">IFERROR(__xludf.DUMMYFUNCTION("""COMPUTED_VALUE"""),"SAN MARTÍN")</f>
        <v>SAN MARTÍN</v>
      </c>
      <c r="E1503" s="25" t="str">
        <f ca="1">IFERROR(__xludf.DUMMYFUNCTION("""COMPUTED_VALUE"""),"LORETO")</f>
        <v>LORETO</v>
      </c>
      <c r="F1503" s="25" t="str">
        <f ca="1">IFERROR(__xludf.DUMMYFUNCTION("""COMPUTED_VALUE"""),"ALTO AMAZONAS")</f>
        <v>ALTO AMAZONAS</v>
      </c>
      <c r="G1503" s="25" t="str">
        <f ca="1">IFERROR(__xludf.DUMMYFUNCTION("""COMPUTED_VALUE"""),"TENIENTE CESAR LOPEZ ROJAS")</f>
        <v>TENIENTE CESAR LOPEZ ROJAS</v>
      </c>
      <c r="H1503" s="25" t="str">
        <f ca="1">IFERROR(__xludf.DUMMYFUNCTION("""COMPUTED_VALUE"""),"URBANO")</f>
        <v>URBANO</v>
      </c>
      <c r="I1503" s="25" t="str">
        <f ca="1">IFERROR(__xludf.DUMMYFUNCTION("""COMPUTED_VALUE"""),"Prioridad 5")</f>
        <v>Prioridad 5</v>
      </c>
      <c r="J1503" s="42" t="s">
        <v>260</v>
      </c>
    </row>
    <row r="1504" spans="2:10">
      <c r="B1504" s="25" t="str">
        <f ca="1">IFERROR(__xludf.DUMMYFUNCTION("""COMPUTED_VALUE"""),"MUNICIPALIDAD PROVINCIAL")</f>
        <v>MUNICIPALIDAD PROVINCIAL</v>
      </c>
      <c r="C1504" s="25" t="str">
        <f ca="1">IFERROR(__xludf.DUMMYFUNCTION("""COMPUTED_VALUE"""),"MUNICIPALIDAD PROVINCIAL DE DATEM DEL MARAÑON")</f>
        <v>MUNICIPALIDAD PROVINCIAL DE DATEM DEL MARAÑON</v>
      </c>
      <c r="D1504" s="25" t="str">
        <f ca="1">IFERROR(__xludf.DUMMYFUNCTION("""COMPUTED_VALUE"""),"SAN MARTÍN")</f>
        <v>SAN MARTÍN</v>
      </c>
      <c r="E1504" s="25" t="str">
        <f ca="1">IFERROR(__xludf.DUMMYFUNCTION("""COMPUTED_VALUE"""),"LORETO")</f>
        <v>LORETO</v>
      </c>
      <c r="F1504" s="25" t="str">
        <f ca="1">IFERROR(__xludf.DUMMYFUNCTION("""COMPUTED_VALUE"""),"DATEM DEL MARAÑON")</f>
        <v>DATEM DEL MARAÑON</v>
      </c>
      <c r="G1504" s="25" t="str">
        <f ca="1">IFERROR(__xludf.DUMMYFUNCTION("""COMPUTED_VALUE"""),"BARRANCA")</f>
        <v>BARRANCA</v>
      </c>
      <c r="H1504" s="25" t="str">
        <f ca="1">IFERROR(__xludf.DUMMYFUNCTION("""COMPUTED_VALUE"""),"URBANO")</f>
        <v>URBANO</v>
      </c>
      <c r="I1504" s="25" t="str">
        <f ca="1">IFERROR(__xludf.DUMMYFUNCTION("""COMPUTED_VALUE"""),"Prioridad 2")</f>
        <v>Prioridad 2</v>
      </c>
      <c r="J1504" s="42" t="s">
        <v>260</v>
      </c>
    </row>
    <row r="1505" spans="2:10">
      <c r="B1505" s="25" t="str">
        <f ca="1">IFERROR(__xludf.DUMMYFUNCTION("""COMPUTED_VALUE"""),"MUNICIPALIDAD DISTRITAL")</f>
        <v>MUNICIPALIDAD DISTRITAL</v>
      </c>
      <c r="C1505" s="25" t="str">
        <f ca="1">IFERROR(__xludf.DUMMYFUNCTION("""COMPUTED_VALUE"""),"MUNICIPALIDAD DISTRITAL DE CAHUAPANAS")</f>
        <v>MUNICIPALIDAD DISTRITAL DE CAHUAPANAS</v>
      </c>
      <c r="D1505" s="25" t="str">
        <f ca="1">IFERROR(__xludf.DUMMYFUNCTION("""COMPUTED_VALUE"""),"SAN MARTÍN")</f>
        <v>SAN MARTÍN</v>
      </c>
      <c r="E1505" s="25" t="str">
        <f ca="1">IFERROR(__xludf.DUMMYFUNCTION("""COMPUTED_VALUE"""),"LORETO")</f>
        <v>LORETO</v>
      </c>
      <c r="F1505" s="25" t="str">
        <f ca="1">IFERROR(__xludf.DUMMYFUNCTION("""COMPUTED_VALUE"""),"DATEM DEL MARAÑON")</f>
        <v>DATEM DEL MARAÑON</v>
      </c>
      <c r="G1505" s="25" t="str">
        <f ca="1">IFERROR(__xludf.DUMMYFUNCTION("""COMPUTED_VALUE"""),"CAHUAPANAS")</f>
        <v>CAHUAPANAS</v>
      </c>
      <c r="H1505" s="25" t="str">
        <f ca="1">IFERROR(__xludf.DUMMYFUNCTION("""COMPUTED_VALUE"""),"RURAL")</f>
        <v>RURAL</v>
      </c>
      <c r="I1505" s="25" t="str">
        <f ca="1">IFERROR(__xludf.DUMMYFUNCTION("""COMPUTED_VALUE"""),"Prioridad 5")</f>
        <v>Prioridad 5</v>
      </c>
      <c r="J1505" s="42" t="s">
        <v>260</v>
      </c>
    </row>
    <row r="1506" spans="2:10">
      <c r="B1506" s="25" t="str">
        <f ca="1">IFERROR(__xludf.DUMMYFUNCTION("""COMPUTED_VALUE"""),"MUNICIPALIDAD DISTRITAL")</f>
        <v>MUNICIPALIDAD DISTRITAL</v>
      </c>
      <c r="C1506" s="25" t="str">
        <f ca="1">IFERROR(__xludf.DUMMYFUNCTION("""COMPUTED_VALUE"""),"MUNICIPALIDAD DISTRITAL DE MANSERICHE")</f>
        <v>MUNICIPALIDAD DISTRITAL DE MANSERICHE</v>
      </c>
      <c r="D1506" s="25" t="str">
        <f ca="1">IFERROR(__xludf.DUMMYFUNCTION("""COMPUTED_VALUE"""),"SAN MARTÍN")</f>
        <v>SAN MARTÍN</v>
      </c>
      <c r="E1506" s="25" t="str">
        <f ca="1">IFERROR(__xludf.DUMMYFUNCTION("""COMPUTED_VALUE"""),"LORETO")</f>
        <v>LORETO</v>
      </c>
      <c r="F1506" s="25" t="str">
        <f ca="1">IFERROR(__xludf.DUMMYFUNCTION("""COMPUTED_VALUE"""),"DATEM DEL MARAÑON")</f>
        <v>DATEM DEL MARAÑON</v>
      </c>
      <c r="G1506" s="25" t="str">
        <f ca="1">IFERROR(__xludf.DUMMYFUNCTION("""COMPUTED_VALUE"""),"MANSERICHE")</f>
        <v>MANSERICHE</v>
      </c>
      <c r="H1506" s="25" t="str">
        <f ca="1">IFERROR(__xludf.DUMMYFUNCTION("""COMPUTED_VALUE"""),"RURAL")</f>
        <v>RURAL</v>
      </c>
      <c r="I1506" s="25" t="str">
        <f ca="1">IFERROR(__xludf.DUMMYFUNCTION("""COMPUTED_VALUE"""),"Prioridad 3")</f>
        <v>Prioridad 3</v>
      </c>
      <c r="J1506" s="42" t="s">
        <v>260</v>
      </c>
    </row>
    <row r="1507" spans="2:10">
      <c r="B1507" s="25" t="str">
        <f ca="1">IFERROR(__xludf.DUMMYFUNCTION("""COMPUTED_VALUE"""),"MUNICIPALIDAD DISTRITAL")</f>
        <v>MUNICIPALIDAD DISTRITAL</v>
      </c>
      <c r="C1507" s="25" t="str">
        <f ca="1">IFERROR(__xludf.DUMMYFUNCTION("""COMPUTED_VALUE"""),"MUNICIPALIDAD DISTRITAL DE MORONA")</f>
        <v>MUNICIPALIDAD DISTRITAL DE MORONA</v>
      </c>
      <c r="D1507" s="25" t="str">
        <f ca="1">IFERROR(__xludf.DUMMYFUNCTION("""COMPUTED_VALUE"""),"SAN MARTÍN")</f>
        <v>SAN MARTÍN</v>
      </c>
      <c r="E1507" s="25" t="str">
        <f ca="1">IFERROR(__xludf.DUMMYFUNCTION("""COMPUTED_VALUE"""),"LORETO")</f>
        <v>LORETO</v>
      </c>
      <c r="F1507" s="25" t="str">
        <f ca="1">IFERROR(__xludf.DUMMYFUNCTION("""COMPUTED_VALUE"""),"DATEM DEL MARAÑON")</f>
        <v>DATEM DEL MARAÑON</v>
      </c>
      <c r="G1507" s="25" t="str">
        <f ca="1">IFERROR(__xludf.DUMMYFUNCTION("""COMPUTED_VALUE"""),"MORONA")</f>
        <v>MORONA</v>
      </c>
      <c r="H1507" s="25" t="str">
        <f ca="1">IFERROR(__xludf.DUMMYFUNCTION("""COMPUTED_VALUE"""),"RURAL")</f>
        <v>RURAL</v>
      </c>
      <c r="I1507" s="25" t="str">
        <f ca="1">IFERROR(__xludf.DUMMYFUNCTION("""COMPUTED_VALUE"""),"Prioridad 5")</f>
        <v>Prioridad 5</v>
      </c>
      <c r="J1507" s="42" t="s">
        <v>260</v>
      </c>
    </row>
    <row r="1508" spans="2:10">
      <c r="B1508" s="25" t="str">
        <f ca="1">IFERROR(__xludf.DUMMYFUNCTION("""COMPUTED_VALUE"""),"MUNICIPALIDAD DISTRITAL")</f>
        <v>MUNICIPALIDAD DISTRITAL</v>
      </c>
      <c r="C1508" s="25" t="str">
        <f ca="1">IFERROR(__xludf.DUMMYFUNCTION("""COMPUTED_VALUE"""),"MUNICIPALIDAD DISTRITAL DE PASTAZA")</f>
        <v>MUNICIPALIDAD DISTRITAL DE PASTAZA</v>
      </c>
      <c r="D1508" s="25" t="str">
        <f ca="1">IFERROR(__xludf.DUMMYFUNCTION("""COMPUTED_VALUE"""),"SAN MARTÍN")</f>
        <v>SAN MARTÍN</v>
      </c>
      <c r="E1508" s="25" t="str">
        <f ca="1">IFERROR(__xludf.DUMMYFUNCTION("""COMPUTED_VALUE"""),"LORETO")</f>
        <v>LORETO</v>
      </c>
      <c r="F1508" s="25" t="str">
        <f ca="1">IFERROR(__xludf.DUMMYFUNCTION("""COMPUTED_VALUE"""),"DATEM DEL MARAÑON")</f>
        <v>DATEM DEL MARAÑON</v>
      </c>
      <c r="G1508" s="25" t="str">
        <f ca="1">IFERROR(__xludf.DUMMYFUNCTION("""COMPUTED_VALUE"""),"PASTAZA")</f>
        <v>PASTAZA</v>
      </c>
      <c r="H1508" s="25" t="str">
        <f ca="1">IFERROR(__xludf.DUMMYFUNCTION("""COMPUTED_VALUE"""),"RURAL")</f>
        <v>RURAL</v>
      </c>
      <c r="I1508" s="25" t="str">
        <f ca="1">IFERROR(__xludf.DUMMYFUNCTION("""COMPUTED_VALUE"""),"Prioridad 3")</f>
        <v>Prioridad 3</v>
      </c>
      <c r="J1508" s="42" t="s">
        <v>260</v>
      </c>
    </row>
    <row r="1509" spans="2:10">
      <c r="B1509" s="25" t="str">
        <f ca="1">IFERROR(__xludf.DUMMYFUNCTION("""COMPUTED_VALUE"""),"MUNICIPALIDAD DISTRITAL")</f>
        <v>MUNICIPALIDAD DISTRITAL</v>
      </c>
      <c r="C1509" s="25" t="str">
        <f ca="1">IFERROR(__xludf.DUMMYFUNCTION("""COMPUTED_VALUE"""),"MUNICIPALIDAD DISTRITAL DE ANDOAS")</f>
        <v>MUNICIPALIDAD DISTRITAL DE ANDOAS</v>
      </c>
      <c r="D1509" s="25" t="str">
        <f ca="1">IFERROR(__xludf.DUMMYFUNCTION("""COMPUTED_VALUE"""),"SAN MARTÍN")</f>
        <v>SAN MARTÍN</v>
      </c>
      <c r="E1509" s="25" t="str">
        <f ca="1">IFERROR(__xludf.DUMMYFUNCTION("""COMPUTED_VALUE"""),"LORETO")</f>
        <v>LORETO</v>
      </c>
      <c r="F1509" s="25" t="str">
        <f ca="1">IFERROR(__xludf.DUMMYFUNCTION("""COMPUTED_VALUE"""),"DATEM DEL MARAÑON")</f>
        <v>DATEM DEL MARAÑON</v>
      </c>
      <c r="G1509" s="25" t="str">
        <f ca="1">IFERROR(__xludf.DUMMYFUNCTION("""COMPUTED_VALUE"""),"ANDOAS")</f>
        <v>ANDOAS</v>
      </c>
      <c r="H1509" s="25" t="str">
        <f ca="1">IFERROR(__xludf.DUMMYFUNCTION("""COMPUTED_VALUE"""),"RURAL")</f>
        <v>RURAL</v>
      </c>
      <c r="I1509" s="25" t="str">
        <f ca="1">IFERROR(__xludf.DUMMYFUNCTION("""COMPUTED_VALUE"""),"Prioridad 5")</f>
        <v>Prioridad 5</v>
      </c>
      <c r="J1509" s="42" t="s">
        <v>260</v>
      </c>
    </row>
    <row r="1510" spans="2:10">
      <c r="B1510" s="25" t="str">
        <f ca="1">IFERROR(__xludf.DUMMYFUNCTION("""COMPUTED_VALUE"""),"MUNICIPALIDAD PROVINCIAL")</f>
        <v>MUNICIPALIDAD PROVINCIAL</v>
      </c>
      <c r="C1510" s="25" t="str">
        <f ca="1">IFERROR(__xludf.DUMMYFUNCTION("""COMPUTED_VALUE"""),"MUNICIPALIDAD PROVINCIAL DE LORETO")</f>
        <v>MUNICIPALIDAD PROVINCIAL DE LORETO</v>
      </c>
      <c r="D1510" s="25" t="str">
        <f ca="1">IFERROR(__xludf.DUMMYFUNCTION("""COMPUTED_VALUE"""),"LORETO")</f>
        <v>LORETO</v>
      </c>
      <c r="E1510" s="25" t="str">
        <f ca="1">IFERROR(__xludf.DUMMYFUNCTION("""COMPUTED_VALUE"""),"LORETO")</f>
        <v>LORETO</v>
      </c>
      <c r="F1510" s="25" t="str">
        <f ca="1">IFERROR(__xludf.DUMMYFUNCTION("""COMPUTED_VALUE"""),"LORETO")</f>
        <v>LORETO</v>
      </c>
      <c r="G1510" s="25" t="str">
        <f ca="1">IFERROR(__xludf.DUMMYFUNCTION("""COMPUTED_VALUE"""),"NAUTA")</f>
        <v>NAUTA</v>
      </c>
      <c r="H1510" s="25" t="str">
        <f ca="1">IFERROR(__xludf.DUMMYFUNCTION("""COMPUTED_VALUE"""),"URBANO")</f>
        <v>URBANO</v>
      </c>
      <c r="I1510" s="25" t="str">
        <f ca="1">IFERROR(__xludf.DUMMYFUNCTION("""COMPUTED_VALUE"""),"Prioridad 1")</f>
        <v>Prioridad 1</v>
      </c>
      <c r="J1510" s="42" t="s">
        <v>260</v>
      </c>
    </row>
    <row r="1511" spans="2:10">
      <c r="B1511" s="25" t="str">
        <f ca="1">IFERROR(__xludf.DUMMYFUNCTION("""COMPUTED_VALUE"""),"MUNICIPALIDAD DISTRITAL")</f>
        <v>MUNICIPALIDAD DISTRITAL</v>
      </c>
      <c r="C1511" s="25" t="str">
        <f ca="1">IFERROR(__xludf.DUMMYFUNCTION("""COMPUTED_VALUE"""),"MUNICIPALIDAD DISTRITAL DE PARINARI")</f>
        <v>MUNICIPALIDAD DISTRITAL DE PARINARI</v>
      </c>
      <c r="D1511" s="25" t="str">
        <f ca="1">IFERROR(__xludf.DUMMYFUNCTION("""COMPUTED_VALUE"""),"LORETO")</f>
        <v>LORETO</v>
      </c>
      <c r="E1511" s="25" t="str">
        <f ca="1">IFERROR(__xludf.DUMMYFUNCTION("""COMPUTED_VALUE"""),"LORETO")</f>
        <v>LORETO</v>
      </c>
      <c r="F1511" s="25" t="str">
        <f ca="1">IFERROR(__xludf.DUMMYFUNCTION("""COMPUTED_VALUE"""),"LORETO")</f>
        <v>LORETO</v>
      </c>
      <c r="G1511" s="25" t="str">
        <f ca="1">IFERROR(__xludf.DUMMYFUNCTION("""COMPUTED_VALUE"""),"PARINARI")</f>
        <v>PARINARI</v>
      </c>
      <c r="H1511" s="25" t="str">
        <f ca="1">IFERROR(__xludf.DUMMYFUNCTION("""COMPUTED_VALUE"""),"RURAL")</f>
        <v>RURAL</v>
      </c>
      <c r="I1511" s="25" t="str">
        <f ca="1">IFERROR(__xludf.DUMMYFUNCTION("""COMPUTED_VALUE"""),"Prioridad 4")</f>
        <v>Prioridad 4</v>
      </c>
      <c r="J1511" s="42" t="s">
        <v>260</v>
      </c>
    </row>
    <row r="1512" spans="2:10">
      <c r="B1512" s="25" t="str">
        <f ca="1">IFERROR(__xludf.DUMMYFUNCTION("""COMPUTED_VALUE"""),"MUNICIPALIDAD DISTRITAL")</f>
        <v>MUNICIPALIDAD DISTRITAL</v>
      </c>
      <c r="C1512" s="25" t="str">
        <f ca="1">IFERROR(__xludf.DUMMYFUNCTION("""COMPUTED_VALUE"""),"MUNICIPALIDAD DISTRITAL DE EL TIGRE")</f>
        <v>MUNICIPALIDAD DISTRITAL DE EL TIGRE</v>
      </c>
      <c r="D1512" s="25" t="str">
        <f ca="1">IFERROR(__xludf.DUMMYFUNCTION("""COMPUTED_VALUE"""),"LORETO")</f>
        <v>LORETO</v>
      </c>
      <c r="E1512" s="25" t="str">
        <f ca="1">IFERROR(__xludf.DUMMYFUNCTION("""COMPUTED_VALUE"""),"LORETO")</f>
        <v>LORETO</v>
      </c>
      <c r="F1512" s="25" t="str">
        <f ca="1">IFERROR(__xludf.DUMMYFUNCTION("""COMPUTED_VALUE"""),"LORETO")</f>
        <v>LORETO</v>
      </c>
      <c r="G1512" s="25" t="str">
        <f ca="1">IFERROR(__xludf.DUMMYFUNCTION("""COMPUTED_VALUE"""),"TIGRE")</f>
        <v>TIGRE</v>
      </c>
      <c r="H1512" s="25" t="str">
        <f ca="1">IFERROR(__xludf.DUMMYFUNCTION("""COMPUTED_VALUE"""),"RURAL")</f>
        <v>RURAL</v>
      </c>
      <c r="I1512" s="25" t="str">
        <f ca="1">IFERROR(__xludf.DUMMYFUNCTION("""COMPUTED_VALUE"""),"Prioridad 5")</f>
        <v>Prioridad 5</v>
      </c>
      <c r="J1512" s="42" t="s">
        <v>260</v>
      </c>
    </row>
    <row r="1513" spans="2:10">
      <c r="B1513" s="25" t="str">
        <f ca="1">IFERROR(__xludf.DUMMYFUNCTION("""COMPUTED_VALUE"""),"MUNICIPALIDAD DISTRITAL")</f>
        <v>MUNICIPALIDAD DISTRITAL</v>
      </c>
      <c r="C1513" s="25" t="str">
        <f ca="1">IFERROR(__xludf.DUMMYFUNCTION("""COMPUTED_VALUE"""),"MUNICIPALIDAD DISTRITAL DE TROMPETEROS")</f>
        <v>MUNICIPALIDAD DISTRITAL DE TROMPETEROS</v>
      </c>
      <c r="D1513" s="25" t="str">
        <f ca="1">IFERROR(__xludf.DUMMYFUNCTION("""COMPUTED_VALUE"""),"LORETO")</f>
        <v>LORETO</v>
      </c>
      <c r="E1513" s="25" t="str">
        <f ca="1">IFERROR(__xludf.DUMMYFUNCTION("""COMPUTED_VALUE"""),"LORETO")</f>
        <v>LORETO</v>
      </c>
      <c r="F1513" s="25" t="str">
        <f ca="1">IFERROR(__xludf.DUMMYFUNCTION("""COMPUTED_VALUE"""),"LORETO")</f>
        <v>LORETO</v>
      </c>
      <c r="G1513" s="25" t="str">
        <f ca="1">IFERROR(__xludf.DUMMYFUNCTION("""COMPUTED_VALUE"""),"TROMPETEROS")</f>
        <v>TROMPETEROS</v>
      </c>
      <c r="H1513" s="25" t="str">
        <f ca="1">IFERROR(__xludf.DUMMYFUNCTION("""COMPUTED_VALUE"""),"RURAL")</f>
        <v>RURAL</v>
      </c>
      <c r="I1513" s="25" t="str">
        <f ca="1">IFERROR(__xludf.DUMMYFUNCTION("""COMPUTED_VALUE"""),"Prioridad 5")</f>
        <v>Prioridad 5</v>
      </c>
      <c r="J1513" s="42" t="s">
        <v>260</v>
      </c>
    </row>
    <row r="1514" spans="2:10">
      <c r="B1514" s="25" t="str">
        <f ca="1">IFERROR(__xludf.DUMMYFUNCTION("""COMPUTED_VALUE"""),"MUNICIPALIDAD DISTRITAL")</f>
        <v>MUNICIPALIDAD DISTRITAL</v>
      </c>
      <c r="C1514" s="25" t="str">
        <f ca="1">IFERROR(__xludf.DUMMYFUNCTION("""COMPUTED_VALUE"""),"MUNICIPALIDAD DISTRITAL DE URARINAS")</f>
        <v>MUNICIPALIDAD DISTRITAL DE URARINAS</v>
      </c>
      <c r="D1514" s="25" t="str">
        <f ca="1">IFERROR(__xludf.DUMMYFUNCTION("""COMPUTED_VALUE"""),"LORETO")</f>
        <v>LORETO</v>
      </c>
      <c r="E1514" s="25" t="str">
        <f ca="1">IFERROR(__xludf.DUMMYFUNCTION("""COMPUTED_VALUE"""),"LORETO")</f>
        <v>LORETO</v>
      </c>
      <c r="F1514" s="25" t="str">
        <f ca="1">IFERROR(__xludf.DUMMYFUNCTION("""COMPUTED_VALUE"""),"LORETO")</f>
        <v>LORETO</v>
      </c>
      <c r="G1514" s="25" t="str">
        <f ca="1">IFERROR(__xludf.DUMMYFUNCTION("""COMPUTED_VALUE"""),"URARINAS")</f>
        <v>URARINAS</v>
      </c>
      <c r="H1514" s="25" t="str">
        <f ca="1">IFERROR(__xludf.DUMMYFUNCTION("""COMPUTED_VALUE"""),"RURAL")</f>
        <v>RURAL</v>
      </c>
      <c r="I1514" s="25" t="str">
        <f ca="1">IFERROR(__xludf.DUMMYFUNCTION("""COMPUTED_VALUE"""),"Prioridad 5")</f>
        <v>Prioridad 5</v>
      </c>
      <c r="J1514" s="42" t="s">
        <v>260</v>
      </c>
    </row>
    <row r="1515" spans="2:10">
      <c r="B1515" s="25" t="str">
        <f ca="1">IFERROR(__xludf.DUMMYFUNCTION("""COMPUTED_VALUE"""),"MUNICIPALIDAD PROVINCIAL")</f>
        <v>MUNICIPALIDAD PROVINCIAL</v>
      </c>
      <c r="C1515" s="25" t="str">
        <f ca="1">IFERROR(__xludf.DUMMYFUNCTION("""COMPUTED_VALUE"""),"MUNICIPALIDAD PROVINCIAL DE MARISCAL RAMON CASTILLA")</f>
        <v>MUNICIPALIDAD PROVINCIAL DE MARISCAL RAMON CASTILLA</v>
      </c>
      <c r="D1515" s="25" t="str">
        <f ca="1">IFERROR(__xludf.DUMMYFUNCTION("""COMPUTED_VALUE"""),"LORETO")</f>
        <v>LORETO</v>
      </c>
      <c r="E1515" s="25" t="str">
        <f ca="1">IFERROR(__xludf.DUMMYFUNCTION("""COMPUTED_VALUE"""),"LORETO")</f>
        <v>LORETO</v>
      </c>
      <c r="F1515" s="25" t="str">
        <f ca="1">IFERROR(__xludf.DUMMYFUNCTION("""COMPUTED_VALUE"""),"MARISCAL RAMON CASTILLA")</f>
        <v>MARISCAL RAMON CASTILLA</v>
      </c>
      <c r="G1515" s="25" t="str">
        <f ca="1">IFERROR(__xludf.DUMMYFUNCTION("""COMPUTED_VALUE"""),"RAMON CASTILLA")</f>
        <v>RAMON CASTILLA</v>
      </c>
      <c r="H1515" s="25" t="str">
        <f ca="1">IFERROR(__xludf.DUMMYFUNCTION("""COMPUTED_VALUE"""),"URBANO")</f>
        <v>URBANO</v>
      </c>
      <c r="I1515" s="25" t="str">
        <f ca="1">IFERROR(__xludf.DUMMYFUNCTION("""COMPUTED_VALUE"""),"Prioridad 1")</f>
        <v>Prioridad 1</v>
      </c>
      <c r="J1515" s="42" t="s">
        <v>260</v>
      </c>
    </row>
    <row r="1516" spans="2:10">
      <c r="B1516" s="25" t="str">
        <f ca="1">IFERROR(__xludf.DUMMYFUNCTION("""COMPUTED_VALUE"""),"MUNICIPALIDAD DISTRITAL")</f>
        <v>MUNICIPALIDAD DISTRITAL</v>
      </c>
      <c r="C1516" s="25" t="str">
        <f ca="1">IFERROR(__xludf.DUMMYFUNCTION("""COMPUTED_VALUE"""),"MUNICIPALIDAD DISTRITAL DE PEBAS")</f>
        <v>MUNICIPALIDAD DISTRITAL DE PEBAS</v>
      </c>
      <c r="D1516" s="25" t="str">
        <f ca="1">IFERROR(__xludf.DUMMYFUNCTION("""COMPUTED_VALUE"""),"LORETO")</f>
        <v>LORETO</v>
      </c>
      <c r="E1516" s="25" t="str">
        <f ca="1">IFERROR(__xludf.DUMMYFUNCTION("""COMPUTED_VALUE"""),"LORETO")</f>
        <v>LORETO</v>
      </c>
      <c r="F1516" s="25" t="str">
        <f ca="1">IFERROR(__xludf.DUMMYFUNCTION("""COMPUTED_VALUE"""),"MARISCAL RAMON CASTILLA")</f>
        <v>MARISCAL RAMON CASTILLA</v>
      </c>
      <c r="G1516" s="25" t="str">
        <f ca="1">IFERROR(__xludf.DUMMYFUNCTION("""COMPUTED_VALUE"""),"PEBAS")</f>
        <v>PEBAS</v>
      </c>
      <c r="H1516" s="25" t="str">
        <f ca="1">IFERROR(__xludf.DUMMYFUNCTION("""COMPUTED_VALUE"""),"RURAL")</f>
        <v>RURAL</v>
      </c>
      <c r="I1516" s="25" t="str">
        <f ca="1">IFERROR(__xludf.DUMMYFUNCTION("""COMPUTED_VALUE"""),"Prioridad 5")</f>
        <v>Prioridad 5</v>
      </c>
      <c r="J1516" s="42" t="s">
        <v>260</v>
      </c>
    </row>
    <row r="1517" spans="2:10">
      <c r="B1517" s="25" t="str">
        <f ca="1">IFERROR(__xludf.DUMMYFUNCTION("""COMPUTED_VALUE"""),"MUNICIPALIDAD DISTRITAL")</f>
        <v>MUNICIPALIDAD DISTRITAL</v>
      </c>
      <c r="C1517" s="25" t="str">
        <f ca="1">IFERROR(__xludf.DUMMYFUNCTION("""COMPUTED_VALUE"""),"MUNICIPALIDAD DISTRITAL DE SAN PABLO EN MARISCAL RAMON CASTILLA")</f>
        <v>MUNICIPALIDAD DISTRITAL DE SAN PABLO EN MARISCAL RAMON CASTILLA</v>
      </c>
      <c r="D1517" s="25" t="str">
        <f ca="1">IFERROR(__xludf.DUMMYFUNCTION("""COMPUTED_VALUE"""),"LORETO")</f>
        <v>LORETO</v>
      </c>
      <c r="E1517" s="25" t="str">
        <f ca="1">IFERROR(__xludf.DUMMYFUNCTION("""COMPUTED_VALUE"""),"LORETO")</f>
        <v>LORETO</v>
      </c>
      <c r="F1517" s="25" t="str">
        <f ca="1">IFERROR(__xludf.DUMMYFUNCTION("""COMPUTED_VALUE"""),"MARISCAL RAMON CASTILLA")</f>
        <v>MARISCAL RAMON CASTILLA</v>
      </c>
      <c r="G1517" s="25" t="str">
        <f ca="1">IFERROR(__xludf.DUMMYFUNCTION("""COMPUTED_VALUE"""),"SAN PABLO")</f>
        <v>SAN PABLO</v>
      </c>
      <c r="H1517" s="25" t="str">
        <f ca="1">IFERROR(__xludf.DUMMYFUNCTION("""COMPUTED_VALUE"""),"RURAL")</f>
        <v>RURAL</v>
      </c>
      <c r="I1517" s="25" t="str">
        <f ca="1">IFERROR(__xludf.DUMMYFUNCTION("""COMPUTED_VALUE"""),"Prioridad 5")</f>
        <v>Prioridad 5</v>
      </c>
      <c r="J1517" s="42" t="s">
        <v>260</v>
      </c>
    </row>
    <row r="1518" spans="2:10">
      <c r="B1518" s="25" t="str">
        <f ca="1">IFERROR(__xludf.DUMMYFUNCTION("""COMPUTED_VALUE"""),"MUNICIPALIDAD DISTRITAL")</f>
        <v>MUNICIPALIDAD DISTRITAL</v>
      </c>
      <c r="C1518" s="25" t="str">
        <f ca="1">IFERROR(__xludf.DUMMYFUNCTION("""COMPUTED_VALUE"""),"MUNICIPALIDAD DISTRITAL DE YAVARI")</f>
        <v>MUNICIPALIDAD DISTRITAL DE YAVARI</v>
      </c>
      <c r="D1518" s="25" t="str">
        <f ca="1">IFERROR(__xludf.DUMMYFUNCTION("""COMPUTED_VALUE"""),"LORETO")</f>
        <v>LORETO</v>
      </c>
      <c r="E1518" s="25" t="str">
        <f ca="1">IFERROR(__xludf.DUMMYFUNCTION("""COMPUTED_VALUE"""),"LORETO")</f>
        <v>LORETO</v>
      </c>
      <c r="F1518" s="25" t="str">
        <f ca="1">IFERROR(__xludf.DUMMYFUNCTION("""COMPUTED_VALUE"""),"MARISCAL RAMON CASTILLA")</f>
        <v>MARISCAL RAMON CASTILLA</v>
      </c>
      <c r="G1518" s="25" t="str">
        <f ca="1">IFERROR(__xludf.DUMMYFUNCTION("""COMPUTED_VALUE"""),"YAVARI")</f>
        <v>YAVARI</v>
      </c>
      <c r="H1518" s="25" t="str">
        <f ca="1">IFERROR(__xludf.DUMMYFUNCTION("""COMPUTED_VALUE"""),"RURAL")</f>
        <v>RURAL</v>
      </c>
      <c r="I1518" s="25" t="str">
        <f ca="1">IFERROR(__xludf.DUMMYFUNCTION("""COMPUTED_VALUE"""),"Prioridad 3")</f>
        <v>Prioridad 3</v>
      </c>
      <c r="J1518" s="42" t="s">
        <v>260</v>
      </c>
    </row>
    <row r="1519" spans="2:10">
      <c r="B1519" s="25" t="str">
        <f ca="1">IFERROR(__xludf.DUMMYFUNCTION("""COMPUTED_VALUE"""),"MUNICIPALIDAD PROVINCIAL")</f>
        <v>MUNICIPALIDAD PROVINCIAL</v>
      </c>
      <c r="C1519" s="25" t="str">
        <f ca="1">IFERROR(__xludf.DUMMYFUNCTION("""COMPUTED_VALUE"""),"MUNICIPALIDAD PROVINCIAL DE MAYNAS")</f>
        <v>MUNICIPALIDAD PROVINCIAL DE MAYNAS</v>
      </c>
      <c r="D1519" s="25" t="str">
        <f ca="1">IFERROR(__xludf.DUMMYFUNCTION("""COMPUTED_VALUE"""),"LORETO")</f>
        <v>LORETO</v>
      </c>
      <c r="E1519" s="25" t="str">
        <f ca="1">IFERROR(__xludf.DUMMYFUNCTION("""COMPUTED_VALUE"""),"LORETO")</f>
        <v>LORETO</v>
      </c>
      <c r="F1519" s="25" t="str">
        <f ca="1">IFERROR(__xludf.DUMMYFUNCTION("""COMPUTED_VALUE"""),"MAYNAS")</f>
        <v>MAYNAS</v>
      </c>
      <c r="G1519" s="25" t="str">
        <f ca="1">IFERROR(__xludf.DUMMYFUNCTION("""COMPUTED_VALUE"""),"IQUITOS")</f>
        <v>IQUITOS</v>
      </c>
      <c r="H1519" s="25" t="str">
        <f ca="1">IFERROR(__xludf.DUMMYFUNCTION("""COMPUTED_VALUE"""),"URBANO")</f>
        <v>URBANO</v>
      </c>
      <c r="I1519" s="25" t="str">
        <f ca="1">IFERROR(__xludf.DUMMYFUNCTION("""COMPUTED_VALUE"""),"Prioridad 1")</f>
        <v>Prioridad 1</v>
      </c>
      <c r="J1519" s="42" t="s">
        <v>260</v>
      </c>
    </row>
    <row r="1520" spans="2:10">
      <c r="B1520" s="25" t="str">
        <f ca="1">IFERROR(__xludf.DUMMYFUNCTION("""COMPUTED_VALUE"""),"MUNICIPALIDAD DISTRITAL")</f>
        <v>MUNICIPALIDAD DISTRITAL</v>
      </c>
      <c r="C1520" s="25" t="str">
        <f ca="1">IFERROR(__xludf.DUMMYFUNCTION("""COMPUTED_VALUE"""),"MUNICIPALIDAD DISTRITAL DE ALTO NANAY")</f>
        <v>MUNICIPALIDAD DISTRITAL DE ALTO NANAY</v>
      </c>
      <c r="D1520" s="25" t="str">
        <f ca="1">IFERROR(__xludf.DUMMYFUNCTION("""COMPUTED_VALUE"""),"LORETO")</f>
        <v>LORETO</v>
      </c>
      <c r="E1520" s="25" t="str">
        <f ca="1">IFERROR(__xludf.DUMMYFUNCTION("""COMPUTED_VALUE"""),"LORETO")</f>
        <v>LORETO</v>
      </c>
      <c r="F1520" s="25" t="str">
        <f ca="1">IFERROR(__xludf.DUMMYFUNCTION("""COMPUTED_VALUE"""),"MAYNAS")</f>
        <v>MAYNAS</v>
      </c>
      <c r="G1520" s="25" t="str">
        <f ca="1">IFERROR(__xludf.DUMMYFUNCTION("""COMPUTED_VALUE"""),"ALTO NANAY")</f>
        <v>ALTO NANAY</v>
      </c>
      <c r="H1520" s="25" t="str">
        <f ca="1">IFERROR(__xludf.DUMMYFUNCTION("""COMPUTED_VALUE"""),"RURAL")</f>
        <v>RURAL</v>
      </c>
      <c r="I1520" s="25" t="str">
        <f ca="1">IFERROR(__xludf.DUMMYFUNCTION("""COMPUTED_VALUE"""),"Prioridad 5")</f>
        <v>Prioridad 5</v>
      </c>
      <c r="J1520" s="42" t="s">
        <v>260</v>
      </c>
    </row>
    <row r="1521" spans="2:10">
      <c r="B1521" s="25" t="str">
        <f ca="1">IFERROR(__xludf.DUMMYFUNCTION("""COMPUTED_VALUE"""),"MUNICIPALIDAD DISTRITAL")</f>
        <v>MUNICIPALIDAD DISTRITAL</v>
      </c>
      <c r="C1521" s="25" t="str">
        <f ca="1">IFERROR(__xludf.DUMMYFUNCTION("""COMPUTED_VALUE"""),"MUNICIPALIDAD DISTRITAL DE FERNANDO LORES")</f>
        <v>MUNICIPALIDAD DISTRITAL DE FERNANDO LORES</v>
      </c>
      <c r="D1521" s="25" t="str">
        <f ca="1">IFERROR(__xludf.DUMMYFUNCTION("""COMPUTED_VALUE"""),"LORETO")</f>
        <v>LORETO</v>
      </c>
      <c r="E1521" s="25" t="str">
        <f ca="1">IFERROR(__xludf.DUMMYFUNCTION("""COMPUTED_VALUE"""),"LORETO")</f>
        <v>LORETO</v>
      </c>
      <c r="F1521" s="25" t="str">
        <f ca="1">IFERROR(__xludf.DUMMYFUNCTION("""COMPUTED_VALUE"""),"MAYNAS")</f>
        <v>MAYNAS</v>
      </c>
      <c r="G1521" s="25" t="str">
        <f ca="1">IFERROR(__xludf.DUMMYFUNCTION("""COMPUTED_VALUE"""),"FERNANDO LORES")</f>
        <v>FERNANDO LORES</v>
      </c>
      <c r="H1521" s="25" t="str">
        <f ca="1">IFERROR(__xludf.DUMMYFUNCTION("""COMPUTED_VALUE"""),"RURAL")</f>
        <v>RURAL</v>
      </c>
      <c r="I1521" s="25" t="str">
        <f ca="1">IFERROR(__xludf.DUMMYFUNCTION("""COMPUTED_VALUE"""),"Prioridad 5")</f>
        <v>Prioridad 5</v>
      </c>
      <c r="J1521" s="42" t="s">
        <v>260</v>
      </c>
    </row>
    <row r="1522" spans="2:10">
      <c r="B1522" s="25" t="str">
        <f ca="1">IFERROR(__xludf.DUMMYFUNCTION("""COMPUTED_VALUE"""),"MUNICIPALIDAD DISTRITAL")</f>
        <v>MUNICIPALIDAD DISTRITAL</v>
      </c>
      <c r="C1522" s="25" t="str">
        <f ca="1">IFERROR(__xludf.DUMMYFUNCTION("""COMPUTED_VALUE"""),"MUNICIPALIDAD DISTRITAL DE INDIANA")</f>
        <v>MUNICIPALIDAD DISTRITAL DE INDIANA</v>
      </c>
      <c r="D1522" s="25" t="str">
        <f ca="1">IFERROR(__xludf.DUMMYFUNCTION("""COMPUTED_VALUE"""),"LORETO")</f>
        <v>LORETO</v>
      </c>
      <c r="E1522" s="25" t="str">
        <f ca="1">IFERROR(__xludf.DUMMYFUNCTION("""COMPUTED_VALUE"""),"LORETO")</f>
        <v>LORETO</v>
      </c>
      <c r="F1522" s="25" t="str">
        <f ca="1">IFERROR(__xludf.DUMMYFUNCTION("""COMPUTED_VALUE"""),"MAYNAS")</f>
        <v>MAYNAS</v>
      </c>
      <c r="G1522" s="25" t="str">
        <f ca="1">IFERROR(__xludf.DUMMYFUNCTION("""COMPUTED_VALUE"""),"INDIANA")</f>
        <v>INDIANA</v>
      </c>
      <c r="H1522" s="25" t="str">
        <f ca="1">IFERROR(__xludf.DUMMYFUNCTION("""COMPUTED_VALUE"""),"RURAL")</f>
        <v>RURAL</v>
      </c>
      <c r="I1522" s="25" t="str">
        <f ca="1">IFERROR(__xludf.DUMMYFUNCTION("""COMPUTED_VALUE"""),"Prioridad 3")</f>
        <v>Prioridad 3</v>
      </c>
      <c r="J1522" s="42" t="s">
        <v>260</v>
      </c>
    </row>
    <row r="1523" spans="2:10">
      <c r="B1523" s="25" t="str">
        <f ca="1">IFERROR(__xludf.DUMMYFUNCTION("""COMPUTED_VALUE"""),"MUNICIPALIDAD DISTRITAL")</f>
        <v>MUNICIPALIDAD DISTRITAL</v>
      </c>
      <c r="C1523" s="25" t="str">
        <f ca="1">IFERROR(__xludf.DUMMYFUNCTION("""COMPUTED_VALUE"""),"MUNICIPALIDAD DISTRITAL DE LAS AMAZONAS")</f>
        <v>MUNICIPALIDAD DISTRITAL DE LAS AMAZONAS</v>
      </c>
      <c r="D1523" s="25" t="str">
        <f ca="1">IFERROR(__xludf.DUMMYFUNCTION("""COMPUTED_VALUE"""),"LORETO")</f>
        <v>LORETO</v>
      </c>
      <c r="E1523" s="25" t="str">
        <f ca="1">IFERROR(__xludf.DUMMYFUNCTION("""COMPUTED_VALUE"""),"LORETO")</f>
        <v>LORETO</v>
      </c>
      <c r="F1523" s="25" t="str">
        <f ca="1">IFERROR(__xludf.DUMMYFUNCTION("""COMPUTED_VALUE"""),"MAYNAS")</f>
        <v>MAYNAS</v>
      </c>
      <c r="G1523" s="25" t="str">
        <f ca="1">IFERROR(__xludf.DUMMYFUNCTION("""COMPUTED_VALUE"""),"LAS AMAZONAS")</f>
        <v>LAS AMAZONAS</v>
      </c>
      <c r="H1523" s="25" t="str">
        <f ca="1">IFERROR(__xludf.DUMMYFUNCTION("""COMPUTED_VALUE"""),"RURAL")</f>
        <v>RURAL</v>
      </c>
      <c r="I1523" s="25" t="str">
        <f ca="1">IFERROR(__xludf.DUMMYFUNCTION("""COMPUTED_VALUE"""),"Prioridad 5")</f>
        <v>Prioridad 5</v>
      </c>
      <c r="J1523" s="42" t="s">
        <v>260</v>
      </c>
    </row>
    <row r="1524" spans="2:10">
      <c r="B1524" s="25" t="str">
        <f ca="1">IFERROR(__xludf.DUMMYFUNCTION("""COMPUTED_VALUE"""),"MUNICIPALIDAD DISTRITAL")</f>
        <v>MUNICIPALIDAD DISTRITAL</v>
      </c>
      <c r="C1524" s="25" t="str">
        <f ca="1">IFERROR(__xludf.DUMMYFUNCTION("""COMPUTED_VALUE"""),"MUNICIPALIDAD DISTRITAL DE MAZAN")</f>
        <v>MUNICIPALIDAD DISTRITAL DE MAZAN</v>
      </c>
      <c r="D1524" s="25" t="str">
        <f ca="1">IFERROR(__xludf.DUMMYFUNCTION("""COMPUTED_VALUE"""),"LORETO")</f>
        <v>LORETO</v>
      </c>
      <c r="E1524" s="25" t="str">
        <f ca="1">IFERROR(__xludf.DUMMYFUNCTION("""COMPUTED_VALUE"""),"LORETO")</f>
        <v>LORETO</v>
      </c>
      <c r="F1524" s="25" t="str">
        <f ca="1">IFERROR(__xludf.DUMMYFUNCTION("""COMPUTED_VALUE"""),"MAYNAS")</f>
        <v>MAYNAS</v>
      </c>
      <c r="G1524" s="25" t="str">
        <f ca="1">IFERROR(__xludf.DUMMYFUNCTION("""COMPUTED_VALUE"""),"MAZAN")</f>
        <v>MAZAN</v>
      </c>
      <c r="H1524" s="25" t="str">
        <f ca="1">IFERROR(__xludf.DUMMYFUNCTION("""COMPUTED_VALUE"""),"RURAL")</f>
        <v>RURAL</v>
      </c>
      <c r="I1524" s="25" t="str">
        <f ca="1">IFERROR(__xludf.DUMMYFUNCTION("""COMPUTED_VALUE"""),"Prioridad 3")</f>
        <v>Prioridad 3</v>
      </c>
      <c r="J1524" s="42" t="s">
        <v>260</v>
      </c>
    </row>
    <row r="1525" spans="2:10">
      <c r="B1525" s="25" t="str">
        <f ca="1">IFERROR(__xludf.DUMMYFUNCTION("""COMPUTED_VALUE"""),"MUNICIPALIDAD DISTRITAL")</f>
        <v>MUNICIPALIDAD DISTRITAL</v>
      </c>
      <c r="C1525" s="25" t="str">
        <f ca="1">IFERROR(__xludf.DUMMYFUNCTION("""COMPUTED_VALUE"""),"MUNICIPALIDAD DISTRITAL DE NAPO")</f>
        <v>MUNICIPALIDAD DISTRITAL DE NAPO</v>
      </c>
      <c r="D1525" s="25" t="str">
        <f ca="1">IFERROR(__xludf.DUMMYFUNCTION("""COMPUTED_VALUE"""),"LORETO")</f>
        <v>LORETO</v>
      </c>
      <c r="E1525" s="25" t="str">
        <f ca="1">IFERROR(__xludf.DUMMYFUNCTION("""COMPUTED_VALUE"""),"LORETO")</f>
        <v>LORETO</v>
      </c>
      <c r="F1525" s="25" t="str">
        <f ca="1">IFERROR(__xludf.DUMMYFUNCTION("""COMPUTED_VALUE"""),"MAYNAS")</f>
        <v>MAYNAS</v>
      </c>
      <c r="G1525" s="25" t="str">
        <f ca="1">IFERROR(__xludf.DUMMYFUNCTION("""COMPUTED_VALUE"""),"NAPO")</f>
        <v>NAPO</v>
      </c>
      <c r="H1525" s="25" t="str">
        <f ca="1">IFERROR(__xludf.DUMMYFUNCTION("""COMPUTED_VALUE"""),"RURAL")</f>
        <v>RURAL</v>
      </c>
      <c r="I1525" s="25" t="str">
        <f ca="1">IFERROR(__xludf.DUMMYFUNCTION("""COMPUTED_VALUE"""),"Prioridad 5")</f>
        <v>Prioridad 5</v>
      </c>
      <c r="J1525" s="42" t="s">
        <v>260</v>
      </c>
    </row>
    <row r="1526" spans="2:10">
      <c r="B1526" s="25" t="str">
        <f ca="1">IFERROR(__xludf.DUMMYFUNCTION("""COMPUTED_VALUE"""),"MUNICIPALIDAD DISTRITAL")</f>
        <v>MUNICIPALIDAD DISTRITAL</v>
      </c>
      <c r="C1526" s="25" t="str">
        <f ca="1">IFERROR(__xludf.DUMMYFUNCTION("""COMPUTED_VALUE"""),"MUNICIPALIDAD DISTRITAL DE PUNCHANA")</f>
        <v>MUNICIPALIDAD DISTRITAL DE PUNCHANA</v>
      </c>
      <c r="D1526" s="25" t="str">
        <f ca="1">IFERROR(__xludf.DUMMYFUNCTION("""COMPUTED_VALUE"""),"LORETO")</f>
        <v>LORETO</v>
      </c>
      <c r="E1526" s="25" t="str">
        <f ca="1">IFERROR(__xludf.DUMMYFUNCTION("""COMPUTED_VALUE"""),"LORETO")</f>
        <v>LORETO</v>
      </c>
      <c r="F1526" s="25" t="str">
        <f ca="1">IFERROR(__xludf.DUMMYFUNCTION("""COMPUTED_VALUE"""),"MAYNAS")</f>
        <v>MAYNAS</v>
      </c>
      <c r="G1526" s="25" t="str">
        <f ca="1">IFERROR(__xludf.DUMMYFUNCTION("""COMPUTED_VALUE"""),"PUNCHANA")</f>
        <v>PUNCHANA</v>
      </c>
      <c r="H1526" s="25" t="str">
        <f ca="1">IFERROR(__xludf.DUMMYFUNCTION("""COMPUTED_VALUE"""),"URBANO")</f>
        <v>URBANO</v>
      </c>
      <c r="I1526" s="25" t="str">
        <f ca="1">IFERROR(__xludf.DUMMYFUNCTION("""COMPUTED_VALUE"""),"Prioridad 2")</f>
        <v>Prioridad 2</v>
      </c>
      <c r="J1526" s="42" t="s">
        <v>260</v>
      </c>
    </row>
    <row r="1527" spans="2:10">
      <c r="B1527" s="25" t="str">
        <f ca="1">IFERROR(__xludf.DUMMYFUNCTION("""COMPUTED_VALUE"""),"MUNICIPALIDAD DISTRITAL")</f>
        <v>MUNICIPALIDAD DISTRITAL</v>
      </c>
      <c r="C1527" s="25" t="str">
        <f ca="1">IFERROR(__xludf.DUMMYFUNCTION("""COMPUTED_VALUE"""),"MUNICIPALIDAD DISTRITAL DE TORRES CAUSANA")</f>
        <v>MUNICIPALIDAD DISTRITAL DE TORRES CAUSANA</v>
      </c>
      <c r="D1527" s="25" t="str">
        <f ca="1">IFERROR(__xludf.DUMMYFUNCTION("""COMPUTED_VALUE"""),"LORETO")</f>
        <v>LORETO</v>
      </c>
      <c r="E1527" s="25" t="str">
        <f ca="1">IFERROR(__xludf.DUMMYFUNCTION("""COMPUTED_VALUE"""),"LORETO")</f>
        <v>LORETO</v>
      </c>
      <c r="F1527" s="25" t="str">
        <f ca="1">IFERROR(__xludf.DUMMYFUNCTION("""COMPUTED_VALUE"""),"MAYNAS")</f>
        <v>MAYNAS</v>
      </c>
      <c r="G1527" s="25" t="str">
        <f ca="1">IFERROR(__xludf.DUMMYFUNCTION("""COMPUTED_VALUE"""),"TORRES CAUSANA")</f>
        <v>TORRES CAUSANA</v>
      </c>
      <c r="H1527" s="25" t="str">
        <f ca="1">IFERROR(__xludf.DUMMYFUNCTION("""COMPUTED_VALUE"""),"RURAL")</f>
        <v>RURAL</v>
      </c>
      <c r="I1527" s="25" t="str">
        <f ca="1">IFERROR(__xludf.DUMMYFUNCTION("""COMPUTED_VALUE"""),"Prioridad 5")</f>
        <v>Prioridad 5</v>
      </c>
      <c r="J1527" s="42" t="s">
        <v>260</v>
      </c>
    </row>
    <row r="1528" spans="2:10">
      <c r="B1528" s="25" t="str">
        <f ca="1">IFERROR(__xludf.DUMMYFUNCTION("""COMPUTED_VALUE"""),"MUNICIPALIDAD DISTRITAL")</f>
        <v>MUNICIPALIDAD DISTRITAL</v>
      </c>
      <c r="C1528" s="25" t="str">
        <f ca="1">IFERROR(__xludf.DUMMYFUNCTION("""COMPUTED_VALUE"""),"MUNICIPALIDAD DISTRITAL DE BELEN EN MAYNAS")</f>
        <v>MUNICIPALIDAD DISTRITAL DE BELEN EN MAYNAS</v>
      </c>
      <c r="D1528" s="25" t="str">
        <f ca="1">IFERROR(__xludf.DUMMYFUNCTION("""COMPUTED_VALUE"""),"LORETO")</f>
        <v>LORETO</v>
      </c>
      <c r="E1528" s="25" t="str">
        <f ca="1">IFERROR(__xludf.DUMMYFUNCTION("""COMPUTED_VALUE"""),"LORETO")</f>
        <v>LORETO</v>
      </c>
      <c r="F1528" s="25" t="str">
        <f ca="1">IFERROR(__xludf.DUMMYFUNCTION("""COMPUTED_VALUE"""),"MAYNAS")</f>
        <v>MAYNAS</v>
      </c>
      <c r="G1528" s="25" t="str">
        <f ca="1">IFERROR(__xludf.DUMMYFUNCTION("""COMPUTED_VALUE"""),"BELEN")</f>
        <v>BELEN</v>
      </c>
      <c r="H1528" s="25" t="str">
        <f ca="1">IFERROR(__xludf.DUMMYFUNCTION("""COMPUTED_VALUE"""),"URBANO")</f>
        <v>URBANO</v>
      </c>
      <c r="I1528" s="25" t="str">
        <f ca="1">IFERROR(__xludf.DUMMYFUNCTION("""COMPUTED_VALUE"""),"Prioridad 2")</f>
        <v>Prioridad 2</v>
      </c>
      <c r="J1528" s="42" t="s">
        <v>260</v>
      </c>
    </row>
    <row r="1529" spans="2:10">
      <c r="B1529" s="25" t="str">
        <f ca="1">IFERROR(__xludf.DUMMYFUNCTION("""COMPUTED_VALUE"""),"MUNICIPALIDAD DISTRITAL")</f>
        <v>MUNICIPALIDAD DISTRITAL</v>
      </c>
      <c r="C1529" s="25" t="str">
        <f ca="1">IFERROR(__xludf.DUMMYFUNCTION("""COMPUTED_VALUE"""),"MUNICIPALIDAD DISTRITAL DE SAN JUAN BAUTISTA EN MAYNAS")</f>
        <v>MUNICIPALIDAD DISTRITAL DE SAN JUAN BAUTISTA EN MAYNAS</v>
      </c>
      <c r="D1529" s="25" t="str">
        <f ca="1">IFERROR(__xludf.DUMMYFUNCTION("""COMPUTED_VALUE"""),"LORETO")</f>
        <v>LORETO</v>
      </c>
      <c r="E1529" s="25" t="str">
        <f ca="1">IFERROR(__xludf.DUMMYFUNCTION("""COMPUTED_VALUE"""),"LORETO")</f>
        <v>LORETO</v>
      </c>
      <c r="F1529" s="25" t="str">
        <f ca="1">IFERROR(__xludf.DUMMYFUNCTION("""COMPUTED_VALUE"""),"MAYNAS")</f>
        <v>MAYNAS</v>
      </c>
      <c r="G1529" s="25" t="str">
        <f ca="1">IFERROR(__xludf.DUMMYFUNCTION("""COMPUTED_VALUE"""),"SAN JUAN BAUTISTA")</f>
        <v>SAN JUAN BAUTISTA</v>
      </c>
      <c r="H1529" s="25" t="str">
        <f ca="1">IFERROR(__xludf.DUMMYFUNCTION("""COMPUTED_VALUE"""),"URBANO")</f>
        <v>URBANO</v>
      </c>
      <c r="I1529" s="25" t="str">
        <f ca="1">IFERROR(__xludf.DUMMYFUNCTION("""COMPUTED_VALUE"""),"Prioridad 1")</f>
        <v>Prioridad 1</v>
      </c>
      <c r="J1529" s="42" t="s">
        <v>260</v>
      </c>
    </row>
    <row r="1530" spans="2:10">
      <c r="B1530" s="25" t="str">
        <f ca="1">IFERROR(__xludf.DUMMYFUNCTION("""COMPUTED_VALUE"""),"GOBIERNO REGIONAL")</f>
        <v>GOBIERNO REGIONAL</v>
      </c>
      <c r="C1530" s="25" t="str">
        <f ca="1">IFERROR(__xludf.DUMMYFUNCTION("""COMPUTED_VALUE"""),"GOBIERNO REGIONAL DE LORETO")</f>
        <v>GOBIERNO REGIONAL DE LORETO</v>
      </c>
      <c r="D1530" s="25" t="str">
        <f ca="1">IFERROR(__xludf.DUMMYFUNCTION("""COMPUTED_VALUE"""),"LORETO")</f>
        <v>LORETO</v>
      </c>
      <c r="E1530" s="25" t="str">
        <f ca="1">IFERROR(__xludf.DUMMYFUNCTION("""COMPUTED_VALUE"""),"LORETO")</f>
        <v>LORETO</v>
      </c>
      <c r="F1530" s="25" t="str">
        <f ca="1">IFERROR(__xludf.DUMMYFUNCTION("""COMPUTED_VALUE"""),"MAYNAS")</f>
        <v>MAYNAS</v>
      </c>
      <c r="G1530" s="25" t="str">
        <f ca="1">IFERROR(__xludf.DUMMYFUNCTION("""COMPUTED_VALUE"""),"SAN JUAN BAUTISTA")</f>
        <v>SAN JUAN BAUTISTA</v>
      </c>
      <c r="H1530" s="25" t="str">
        <f ca="1">IFERROR(__xludf.DUMMYFUNCTION("""COMPUTED_VALUE"""),"URBANO")</f>
        <v>URBANO</v>
      </c>
      <c r="I1530" s="25" t="str">
        <f ca="1">IFERROR(__xludf.DUMMYFUNCTION("""COMPUTED_VALUE"""),"Prioridad 1")</f>
        <v>Prioridad 1</v>
      </c>
      <c r="J1530" s="42" t="s">
        <v>260</v>
      </c>
    </row>
    <row r="1531" spans="2:10">
      <c r="B1531" s="25" t="str">
        <f ca="1">IFERROR(__xludf.DUMMYFUNCTION("""COMPUTED_VALUE"""),"MUNICIPALIDAD PROVINCIAL")</f>
        <v>MUNICIPALIDAD PROVINCIAL</v>
      </c>
      <c r="C1531" s="25" t="str">
        <f ca="1">IFERROR(__xludf.DUMMYFUNCTION("""COMPUTED_VALUE"""),"MUNICIPALIDAD PROVINCIAL DE PUTUMAYO")</f>
        <v>MUNICIPALIDAD PROVINCIAL DE PUTUMAYO</v>
      </c>
      <c r="D1531" s="25" t="str">
        <f ca="1">IFERROR(__xludf.DUMMYFUNCTION("""COMPUTED_VALUE"""),"NO CONTEMPLADO EN LA DIRECTIVA")</f>
        <v>NO CONTEMPLADO EN LA DIRECTIVA</v>
      </c>
      <c r="E1531" s="25" t="str">
        <f ca="1">IFERROR(__xludf.DUMMYFUNCTION("""COMPUTED_VALUE"""),"LORETO")</f>
        <v>LORETO</v>
      </c>
      <c r="F1531" s="25" t="str">
        <f ca="1">IFERROR(__xludf.DUMMYFUNCTION("""COMPUTED_VALUE"""),"PUTUMAYO")</f>
        <v>PUTUMAYO</v>
      </c>
      <c r="G1531" s="25" t="str">
        <f ca="1">IFERROR(__xludf.DUMMYFUNCTION("""COMPUTED_VALUE"""),"PUTUMAYO")</f>
        <v>PUTUMAYO</v>
      </c>
      <c r="H1531" s="25" t="str">
        <f ca="1">IFERROR(__xludf.DUMMYFUNCTION("""COMPUTED_VALUE"""),"URBANO")</f>
        <v>URBANO</v>
      </c>
      <c r="I1531" s="25" t="str">
        <f ca="1">IFERROR(__xludf.DUMMYFUNCTION("""COMPUTED_VALUE"""),"Prioridad 2")</f>
        <v>Prioridad 2</v>
      </c>
      <c r="J1531" s="42" t="s">
        <v>260</v>
      </c>
    </row>
    <row r="1532" spans="2:10">
      <c r="B1532" s="25" t="str">
        <f ca="1">IFERROR(__xludf.DUMMYFUNCTION("""COMPUTED_VALUE"""),"MUNICIPALIDAD DISTRITAL")</f>
        <v>MUNICIPALIDAD DISTRITAL</v>
      </c>
      <c r="C1532" s="25" t="str">
        <f ca="1">IFERROR(__xludf.DUMMYFUNCTION("""COMPUTED_VALUE"""),"MUNICIPALIDAD DISTRITAL DE ROSA PANDURO")</f>
        <v>MUNICIPALIDAD DISTRITAL DE ROSA PANDURO</v>
      </c>
      <c r="D1532" s="25" t="str">
        <f ca="1">IFERROR(__xludf.DUMMYFUNCTION("""COMPUTED_VALUE"""),"NO CONTEMPLADO EN LA DIRECTIVA")</f>
        <v>NO CONTEMPLADO EN LA DIRECTIVA</v>
      </c>
      <c r="E1532" s="25" t="str">
        <f ca="1">IFERROR(__xludf.DUMMYFUNCTION("""COMPUTED_VALUE"""),"LORETO")</f>
        <v>LORETO</v>
      </c>
      <c r="F1532" s="25" t="str">
        <f ca="1">IFERROR(__xludf.DUMMYFUNCTION("""COMPUTED_VALUE"""),"PUTUMAYO")</f>
        <v>PUTUMAYO</v>
      </c>
      <c r="G1532" s="25" t="str">
        <f ca="1">IFERROR(__xludf.DUMMYFUNCTION("""COMPUTED_VALUE"""),"ROSA PANDURO")</f>
        <v>ROSA PANDURO</v>
      </c>
      <c r="H1532" s="25" t="str">
        <f ca="1">IFERROR(__xludf.DUMMYFUNCTION("""COMPUTED_VALUE"""),"RURAL")</f>
        <v>RURAL</v>
      </c>
      <c r="I1532" s="25" t="str">
        <f ca="1">IFERROR(__xludf.DUMMYFUNCTION("""COMPUTED_VALUE"""),"Prioridad 5")</f>
        <v>Prioridad 5</v>
      </c>
      <c r="J1532" s="42" t="s">
        <v>260</v>
      </c>
    </row>
    <row r="1533" spans="2:10">
      <c r="B1533" s="25" t="str">
        <f ca="1">IFERROR(__xludf.DUMMYFUNCTION("""COMPUTED_VALUE"""),"MUNICIPALIDAD DISTRITAL")</f>
        <v>MUNICIPALIDAD DISTRITAL</v>
      </c>
      <c r="C1533" s="25" t="str">
        <f ca="1">IFERROR(__xludf.DUMMYFUNCTION("""COMPUTED_VALUE"""),"MUNICIPALIDAD DISTRITAL DE TENIENTE MANUEL CLAVERO")</f>
        <v>MUNICIPALIDAD DISTRITAL DE TENIENTE MANUEL CLAVERO</v>
      </c>
      <c r="D1533" s="25" t="str">
        <f ca="1">IFERROR(__xludf.DUMMYFUNCTION("""COMPUTED_VALUE"""),"NO CONTEMPLADO EN LA DIRECTIVA")</f>
        <v>NO CONTEMPLADO EN LA DIRECTIVA</v>
      </c>
      <c r="E1533" s="25" t="str">
        <f ca="1">IFERROR(__xludf.DUMMYFUNCTION("""COMPUTED_VALUE"""),"LORETO")</f>
        <v>LORETO</v>
      </c>
      <c r="F1533" s="25" t="str">
        <f ca="1">IFERROR(__xludf.DUMMYFUNCTION("""COMPUTED_VALUE"""),"PUTUMAYO")</f>
        <v>PUTUMAYO</v>
      </c>
      <c r="G1533" s="25" t="str">
        <f ca="1">IFERROR(__xludf.DUMMYFUNCTION("""COMPUTED_VALUE"""),"TENIENTE MANUEL CLAVERO")</f>
        <v>TENIENTE MANUEL CLAVERO</v>
      </c>
      <c r="H1533" s="25" t="str">
        <f ca="1">IFERROR(__xludf.DUMMYFUNCTION("""COMPUTED_VALUE"""),"RURAL")</f>
        <v>RURAL</v>
      </c>
      <c r="I1533" s="25" t="str">
        <f ca="1">IFERROR(__xludf.DUMMYFUNCTION("""COMPUTED_VALUE"""),"Prioridad 5")</f>
        <v>Prioridad 5</v>
      </c>
      <c r="J1533" s="42" t="s">
        <v>260</v>
      </c>
    </row>
    <row r="1534" spans="2:10">
      <c r="B1534" s="25" t="str">
        <f ca="1">IFERROR(__xludf.DUMMYFUNCTION("""COMPUTED_VALUE"""),"MUNICIPALIDAD DISTRITAL")</f>
        <v>MUNICIPALIDAD DISTRITAL</v>
      </c>
      <c r="C1534" s="25" t="str">
        <f ca="1">IFERROR(__xludf.DUMMYFUNCTION("""COMPUTED_VALUE"""),"MUNICIPALIDAD DISTRITAL DE YAGUAS")</f>
        <v>MUNICIPALIDAD DISTRITAL DE YAGUAS</v>
      </c>
      <c r="D1534" s="25" t="str">
        <f ca="1">IFERROR(__xludf.DUMMYFUNCTION("""COMPUTED_VALUE"""),"NO CONTEMPLADO EN LA DIRECTIVA")</f>
        <v>NO CONTEMPLADO EN LA DIRECTIVA</v>
      </c>
      <c r="E1534" s="25" t="str">
        <f ca="1">IFERROR(__xludf.DUMMYFUNCTION("""COMPUTED_VALUE"""),"LORETO")</f>
        <v>LORETO</v>
      </c>
      <c r="F1534" s="25" t="str">
        <f ca="1">IFERROR(__xludf.DUMMYFUNCTION("""COMPUTED_VALUE"""),"PUTUMAYO")</f>
        <v>PUTUMAYO</v>
      </c>
      <c r="G1534" s="25" t="str">
        <f ca="1">IFERROR(__xludf.DUMMYFUNCTION("""COMPUTED_VALUE"""),"YAGUAS")</f>
        <v>YAGUAS</v>
      </c>
      <c r="H1534" s="25" t="str">
        <f ca="1">IFERROR(__xludf.DUMMYFUNCTION("""COMPUTED_VALUE"""),"RURAL")</f>
        <v>RURAL</v>
      </c>
      <c r="I1534" s="25" t="str">
        <f ca="1">IFERROR(__xludf.DUMMYFUNCTION("""COMPUTED_VALUE"""),"Prioridad 5")</f>
        <v>Prioridad 5</v>
      </c>
      <c r="J1534" s="43" t="s">
        <v>263</v>
      </c>
    </row>
    <row r="1535" spans="2:10">
      <c r="B1535" s="25" t="str">
        <f ca="1">IFERROR(__xludf.DUMMYFUNCTION("""COMPUTED_VALUE"""),"MUNICIPALIDAD PROVINCIAL")</f>
        <v>MUNICIPALIDAD PROVINCIAL</v>
      </c>
      <c r="C1535" s="25" t="str">
        <f ca="1">IFERROR(__xludf.DUMMYFUNCTION("""COMPUTED_VALUE"""),"MUNICIPALIDAD PROVINCIAL DE REQUENA")</f>
        <v>MUNICIPALIDAD PROVINCIAL DE REQUENA</v>
      </c>
      <c r="D1535" s="25" t="str">
        <f ca="1">IFERROR(__xludf.DUMMYFUNCTION("""COMPUTED_VALUE"""),"LORETO")</f>
        <v>LORETO</v>
      </c>
      <c r="E1535" s="25" t="str">
        <f ca="1">IFERROR(__xludf.DUMMYFUNCTION("""COMPUTED_VALUE"""),"LORETO")</f>
        <v>LORETO</v>
      </c>
      <c r="F1535" s="25" t="str">
        <f ca="1">IFERROR(__xludf.DUMMYFUNCTION("""COMPUTED_VALUE"""),"REQUENA")</f>
        <v>REQUENA</v>
      </c>
      <c r="G1535" s="25" t="str">
        <f ca="1">IFERROR(__xludf.DUMMYFUNCTION("""COMPUTED_VALUE"""),"REQUENA")</f>
        <v>REQUENA</v>
      </c>
      <c r="H1535" s="25" t="str">
        <f ca="1">IFERROR(__xludf.DUMMYFUNCTION("""COMPUTED_VALUE"""),"URBANO")</f>
        <v>URBANO</v>
      </c>
      <c r="I1535" s="25" t="str">
        <f ca="1">IFERROR(__xludf.DUMMYFUNCTION("""COMPUTED_VALUE"""),"Prioridad 1")</f>
        <v>Prioridad 1</v>
      </c>
      <c r="J1535" s="43" t="s">
        <v>263</v>
      </c>
    </row>
    <row r="1536" spans="2:10">
      <c r="B1536" s="25" t="str">
        <f ca="1">IFERROR(__xludf.DUMMYFUNCTION("""COMPUTED_VALUE"""),"MUNICIPALIDAD DISTRITAL")</f>
        <v>MUNICIPALIDAD DISTRITAL</v>
      </c>
      <c r="C1536" s="25" t="str">
        <f ca="1">IFERROR(__xludf.DUMMYFUNCTION("""COMPUTED_VALUE"""),"MUNICIPALIDAD DISTRITAL DE ALTO TAPICHE")</f>
        <v>MUNICIPALIDAD DISTRITAL DE ALTO TAPICHE</v>
      </c>
      <c r="D1536" s="25" t="str">
        <f ca="1">IFERROR(__xludf.DUMMYFUNCTION("""COMPUTED_VALUE"""),"LORETO")</f>
        <v>LORETO</v>
      </c>
      <c r="E1536" s="25" t="str">
        <f ca="1">IFERROR(__xludf.DUMMYFUNCTION("""COMPUTED_VALUE"""),"LORETO")</f>
        <v>LORETO</v>
      </c>
      <c r="F1536" s="25" t="str">
        <f ca="1">IFERROR(__xludf.DUMMYFUNCTION("""COMPUTED_VALUE"""),"REQUENA")</f>
        <v>REQUENA</v>
      </c>
      <c r="G1536" s="25" t="str">
        <f ca="1">IFERROR(__xludf.DUMMYFUNCTION("""COMPUTED_VALUE"""),"ALTO TAPICHE")</f>
        <v>ALTO TAPICHE</v>
      </c>
      <c r="H1536" s="25" t="str">
        <f ca="1">IFERROR(__xludf.DUMMYFUNCTION("""COMPUTED_VALUE"""),"RURAL")</f>
        <v>RURAL</v>
      </c>
      <c r="I1536" s="25" t="str">
        <f ca="1">IFERROR(__xludf.DUMMYFUNCTION("""COMPUTED_VALUE"""),"Prioridad 5")</f>
        <v>Prioridad 5</v>
      </c>
      <c r="J1536" s="43" t="s">
        <v>263</v>
      </c>
    </row>
    <row r="1537" spans="2:10">
      <c r="B1537" s="25" t="str">
        <f ca="1">IFERROR(__xludf.DUMMYFUNCTION("""COMPUTED_VALUE"""),"MUNICIPALIDAD DISTRITAL")</f>
        <v>MUNICIPALIDAD DISTRITAL</v>
      </c>
      <c r="C1537" s="25" t="str">
        <f ca="1">IFERROR(__xludf.DUMMYFUNCTION("""COMPUTED_VALUE"""),"MUNICIPALIDAD DISTRITAL DE CAPELO")</f>
        <v>MUNICIPALIDAD DISTRITAL DE CAPELO</v>
      </c>
      <c r="D1537" s="25" t="str">
        <f ca="1">IFERROR(__xludf.DUMMYFUNCTION("""COMPUTED_VALUE"""),"LORETO")</f>
        <v>LORETO</v>
      </c>
      <c r="E1537" s="25" t="str">
        <f ca="1">IFERROR(__xludf.DUMMYFUNCTION("""COMPUTED_VALUE"""),"LORETO")</f>
        <v>LORETO</v>
      </c>
      <c r="F1537" s="25" t="str">
        <f ca="1">IFERROR(__xludf.DUMMYFUNCTION("""COMPUTED_VALUE"""),"REQUENA")</f>
        <v>REQUENA</v>
      </c>
      <c r="G1537" s="25" t="str">
        <f ca="1">IFERROR(__xludf.DUMMYFUNCTION("""COMPUTED_VALUE"""),"CAPELO")</f>
        <v>CAPELO</v>
      </c>
      <c r="H1537" s="25" t="str">
        <f ca="1">IFERROR(__xludf.DUMMYFUNCTION("""COMPUTED_VALUE"""),"RURAL")</f>
        <v>RURAL</v>
      </c>
      <c r="I1537" s="25" t="str">
        <f ca="1">IFERROR(__xludf.DUMMYFUNCTION("""COMPUTED_VALUE"""),"Prioridad 5")</f>
        <v>Prioridad 5</v>
      </c>
      <c r="J1537" s="43" t="s">
        <v>263</v>
      </c>
    </row>
    <row r="1538" spans="2:10">
      <c r="B1538" s="25" t="str">
        <f ca="1">IFERROR(__xludf.DUMMYFUNCTION("""COMPUTED_VALUE"""),"MUNICIPALIDAD DISTRITAL")</f>
        <v>MUNICIPALIDAD DISTRITAL</v>
      </c>
      <c r="C1538" s="25" t="str">
        <f ca="1">IFERROR(__xludf.DUMMYFUNCTION("""COMPUTED_VALUE"""),"MUNICIPALIDAD DISTRITAL DE EMILIO SAN MARTIN")</f>
        <v>MUNICIPALIDAD DISTRITAL DE EMILIO SAN MARTIN</v>
      </c>
      <c r="D1538" s="25" t="str">
        <f ca="1">IFERROR(__xludf.DUMMYFUNCTION("""COMPUTED_VALUE"""),"LORETO")</f>
        <v>LORETO</v>
      </c>
      <c r="E1538" s="25" t="str">
        <f ca="1">IFERROR(__xludf.DUMMYFUNCTION("""COMPUTED_VALUE"""),"LORETO")</f>
        <v>LORETO</v>
      </c>
      <c r="F1538" s="25" t="str">
        <f ca="1">IFERROR(__xludf.DUMMYFUNCTION("""COMPUTED_VALUE"""),"REQUENA")</f>
        <v>REQUENA</v>
      </c>
      <c r="G1538" s="25" t="str">
        <f ca="1">IFERROR(__xludf.DUMMYFUNCTION("""COMPUTED_VALUE"""),"EMILIO SAN MARTIN")</f>
        <v>EMILIO SAN MARTIN</v>
      </c>
      <c r="H1538" s="25" t="str">
        <f ca="1">IFERROR(__xludf.DUMMYFUNCTION("""COMPUTED_VALUE"""),"RURAL")</f>
        <v>RURAL</v>
      </c>
      <c r="I1538" s="25" t="str">
        <f ca="1">IFERROR(__xludf.DUMMYFUNCTION("""COMPUTED_VALUE"""),"Prioridad 5")</f>
        <v>Prioridad 5</v>
      </c>
      <c r="J1538" s="43" t="s">
        <v>263</v>
      </c>
    </row>
    <row r="1539" spans="2:10">
      <c r="B1539" s="25" t="str">
        <f ca="1">IFERROR(__xludf.DUMMYFUNCTION("""COMPUTED_VALUE"""),"MUNICIPALIDAD DISTRITAL")</f>
        <v>MUNICIPALIDAD DISTRITAL</v>
      </c>
      <c r="C1539" s="25" t="str">
        <f ca="1">IFERROR(__xludf.DUMMYFUNCTION("""COMPUTED_VALUE"""),"MUNICIPALIDAD DISTRITAL DE JENARO HERRERA")</f>
        <v>MUNICIPALIDAD DISTRITAL DE JENARO HERRERA</v>
      </c>
      <c r="D1539" s="25" t="str">
        <f ca="1">IFERROR(__xludf.DUMMYFUNCTION("""COMPUTED_VALUE"""),"LORETO")</f>
        <v>LORETO</v>
      </c>
      <c r="E1539" s="25" t="str">
        <f ca="1">IFERROR(__xludf.DUMMYFUNCTION("""COMPUTED_VALUE"""),"LORETO")</f>
        <v>LORETO</v>
      </c>
      <c r="F1539" s="25" t="str">
        <f ca="1">IFERROR(__xludf.DUMMYFUNCTION("""COMPUTED_VALUE"""),"REQUENA")</f>
        <v>REQUENA</v>
      </c>
      <c r="G1539" s="25" t="str">
        <f ca="1">IFERROR(__xludf.DUMMYFUNCTION("""COMPUTED_VALUE"""),"JENARO HERRERA")</f>
        <v>JENARO HERRERA</v>
      </c>
      <c r="H1539" s="25" t="str">
        <f ca="1">IFERROR(__xludf.DUMMYFUNCTION("""COMPUTED_VALUE"""),"URBANO")</f>
        <v>URBANO</v>
      </c>
      <c r="I1539" s="25" t="str">
        <f ca="1">IFERROR(__xludf.DUMMYFUNCTION("""COMPUTED_VALUE"""),"Prioridad 4")</f>
        <v>Prioridad 4</v>
      </c>
      <c r="J1539" s="43" t="s">
        <v>263</v>
      </c>
    </row>
    <row r="1540" spans="2:10">
      <c r="B1540" s="25" t="str">
        <f ca="1">IFERROR(__xludf.DUMMYFUNCTION("""COMPUTED_VALUE"""),"MUNICIPALIDAD DISTRITAL")</f>
        <v>MUNICIPALIDAD DISTRITAL</v>
      </c>
      <c r="C1540" s="25" t="str">
        <f ca="1">IFERROR(__xludf.DUMMYFUNCTION("""COMPUTED_VALUE"""),"MUNICIPALIDAD DISTRITAL DE MAQUIA")</f>
        <v>MUNICIPALIDAD DISTRITAL DE MAQUIA</v>
      </c>
      <c r="D1540" s="25" t="str">
        <f ca="1">IFERROR(__xludf.DUMMYFUNCTION("""COMPUTED_VALUE"""),"LORETO")</f>
        <v>LORETO</v>
      </c>
      <c r="E1540" s="25" t="str">
        <f ca="1">IFERROR(__xludf.DUMMYFUNCTION("""COMPUTED_VALUE"""),"LORETO")</f>
        <v>LORETO</v>
      </c>
      <c r="F1540" s="25" t="str">
        <f ca="1">IFERROR(__xludf.DUMMYFUNCTION("""COMPUTED_VALUE"""),"REQUENA")</f>
        <v>REQUENA</v>
      </c>
      <c r="G1540" s="25" t="str">
        <f ca="1">IFERROR(__xludf.DUMMYFUNCTION("""COMPUTED_VALUE"""),"MAQUIA")</f>
        <v>MAQUIA</v>
      </c>
      <c r="H1540" s="25" t="str">
        <f ca="1">IFERROR(__xludf.DUMMYFUNCTION("""COMPUTED_VALUE"""),"RURAL")</f>
        <v>RURAL</v>
      </c>
      <c r="I1540" s="25" t="str">
        <f ca="1">IFERROR(__xludf.DUMMYFUNCTION("""COMPUTED_VALUE"""),"Prioridad 5")</f>
        <v>Prioridad 5</v>
      </c>
      <c r="J1540" s="43" t="s">
        <v>263</v>
      </c>
    </row>
    <row r="1541" spans="2:10">
      <c r="B1541" s="25" t="str">
        <f ca="1">IFERROR(__xludf.DUMMYFUNCTION("""COMPUTED_VALUE"""),"MUNICIPALIDAD DISTRITAL")</f>
        <v>MUNICIPALIDAD DISTRITAL</v>
      </c>
      <c r="C1541" s="25" t="str">
        <f ca="1">IFERROR(__xludf.DUMMYFUNCTION("""COMPUTED_VALUE"""),"MUNICIPALIDAD DISTRITAL DE PUINAHUA")</f>
        <v>MUNICIPALIDAD DISTRITAL DE PUINAHUA</v>
      </c>
      <c r="D1541" s="25" t="str">
        <f ca="1">IFERROR(__xludf.DUMMYFUNCTION("""COMPUTED_VALUE"""),"LORETO")</f>
        <v>LORETO</v>
      </c>
      <c r="E1541" s="25" t="str">
        <f ca="1">IFERROR(__xludf.DUMMYFUNCTION("""COMPUTED_VALUE"""),"LORETO")</f>
        <v>LORETO</v>
      </c>
      <c r="F1541" s="25" t="str">
        <f ca="1">IFERROR(__xludf.DUMMYFUNCTION("""COMPUTED_VALUE"""),"REQUENA")</f>
        <v>REQUENA</v>
      </c>
      <c r="G1541" s="25" t="str">
        <f ca="1">IFERROR(__xludf.DUMMYFUNCTION("""COMPUTED_VALUE"""),"PUINAHUA")</f>
        <v>PUINAHUA</v>
      </c>
      <c r="H1541" s="25" t="str">
        <f ca="1">IFERROR(__xludf.DUMMYFUNCTION("""COMPUTED_VALUE"""),"URBANO")</f>
        <v>URBANO</v>
      </c>
      <c r="I1541" s="25" t="str">
        <f ca="1">IFERROR(__xludf.DUMMYFUNCTION("""COMPUTED_VALUE"""),"Prioridad 4")</f>
        <v>Prioridad 4</v>
      </c>
      <c r="J1541" s="43" t="s">
        <v>263</v>
      </c>
    </row>
    <row r="1542" spans="2:10">
      <c r="B1542" s="25" t="str">
        <f ca="1">IFERROR(__xludf.DUMMYFUNCTION("""COMPUTED_VALUE"""),"MUNICIPALIDAD DISTRITAL")</f>
        <v>MUNICIPALIDAD DISTRITAL</v>
      </c>
      <c r="C1542" s="25" t="str">
        <f ca="1">IFERROR(__xludf.DUMMYFUNCTION("""COMPUTED_VALUE"""),"MUNICIPALIDAD DISTRITAL DE SAQUENA")</f>
        <v>MUNICIPALIDAD DISTRITAL DE SAQUENA</v>
      </c>
      <c r="D1542" s="25" t="str">
        <f ca="1">IFERROR(__xludf.DUMMYFUNCTION("""COMPUTED_VALUE"""),"LORETO")</f>
        <v>LORETO</v>
      </c>
      <c r="E1542" s="25" t="str">
        <f ca="1">IFERROR(__xludf.DUMMYFUNCTION("""COMPUTED_VALUE"""),"LORETO")</f>
        <v>LORETO</v>
      </c>
      <c r="F1542" s="25" t="str">
        <f ca="1">IFERROR(__xludf.DUMMYFUNCTION("""COMPUTED_VALUE"""),"REQUENA")</f>
        <v>REQUENA</v>
      </c>
      <c r="G1542" s="25" t="str">
        <f ca="1">IFERROR(__xludf.DUMMYFUNCTION("""COMPUTED_VALUE"""),"SAQUENA")</f>
        <v>SAQUENA</v>
      </c>
      <c r="H1542" s="25" t="str">
        <f ca="1">IFERROR(__xludf.DUMMYFUNCTION("""COMPUTED_VALUE"""),"RURAL")</f>
        <v>RURAL</v>
      </c>
      <c r="I1542" s="25" t="str">
        <f ca="1">IFERROR(__xludf.DUMMYFUNCTION("""COMPUTED_VALUE"""),"Prioridad 5")</f>
        <v>Prioridad 5</v>
      </c>
      <c r="J1542" s="43" t="s">
        <v>263</v>
      </c>
    </row>
    <row r="1543" spans="2:10">
      <c r="B1543" s="25" t="str">
        <f ca="1">IFERROR(__xludf.DUMMYFUNCTION("""COMPUTED_VALUE"""),"MUNICIPALIDAD DISTRITAL")</f>
        <v>MUNICIPALIDAD DISTRITAL</v>
      </c>
      <c r="C1543" s="25" t="str">
        <f ca="1">IFERROR(__xludf.DUMMYFUNCTION("""COMPUTED_VALUE"""),"MUNICIPALIDAD DISTRITAL DE SOPLIN")</f>
        <v>MUNICIPALIDAD DISTRITAL DE SOPLIN</v>
      </c>
      <c r="D1543" s="25" t="str">
        <f ca="1">IFERROR(__xludf.DUMMYFUNCTION("""COMPUTED_VALUE"""),"LORETO")</f>
        <v>LORETO</v>
      </c>
      <c r="E1543" s="25" t="str">
        <f ca="1">IFERROR(__xludf.DUMMYFUNCTION("""COMPUTED_VALUE"""),"LORETO")</f>
        <v>LORETO</v>
      </c>
      <c r="F1543" s="25" t="str">
        <f ca="1">IFERROR(__xludf.DUMMYFUNCTION("""COMPUTED_VALUE"""),"REQUENA")</f>
        <v>REQUENA</v>
      </c>
      <c r="G1543" s="25" t="str">
        <f ca="1">IFERROR(__xludf.DUMMYFUNCTION("""COMPUTED_VALUE"""),"SOPLIN")</f>
        <v>SOPLIN</v>
      </c>
      <c r="H1543" s="25" t="str">
        <f ca="1">IFERROR(__xludf.DUMMYFUNCTION("""COMPUTED_VALUE"""),"RURAL")</f>
        <v>RURAL</v>
      </c>
      <c r="I1543" s="25" t="str">
        <f ca="1">IFERROR(__xludf.DUMMYFUNCTION("""COMPUTED_VALUE"""),"Prioridad 5")</f>
        <v>Prioridad 5</v>
      </c>
      <c r="J1543" s="43" t="s">
        <v>263</v>
      </c>
    </row>
    <row r="1544" spans="2:10">
      <c r="B1544" s="25" t="str">
        <f ca="1">IFERROR(__xludf.DUMMYFUNCTION("""COMPUTED_VALUE"""),"MUNICIPALIDAD DISTRITAL")</f>
        <v>MUNICIPALIDAD DISTRITAL</v>
      </c>
      <c r="C1544" s="25" t="str">
        <f ca="1">IFERROR(__xludf.DUMMYFUNCTION("""COMPUTED_VALUE"""),"MUNICIPALIDAD DISTRITAL DE TAPICHE")</f>
        <v>MUNICIPALIDAD DISTRITAL DE TAPICHE</v>
      </c>
      <c r="D1544" s="25" t="str">
        <f ca="1">IFERROR(__xludf.DUMMYFUNCTION("""COMPUTED_VALUE"""),"LORETO")</f>
        <v>LORETO</v>
      </c>
      <c r="E1544" s="25" t="str">
        <f ca="1">IFERROR(__xludf.DUMMYFUNCTION("""COMPUTED_VALUE"""),"LORETO")</f>
        <v>LORETO</v>
      </c>
      <c r="F1544" s="25" t="str">
        <f ca="1">IFERROR(__xludf.DUMMYFUNCTION("""COMPUTED_VALUE"""),"REQUENA")</f>
        <v>REQUENA</v>
      </c>
      <c r="G1544" s="25" t="str">
        <f ca="1">IFERROR(__xludf.DUMMYFUNCTION("""COMPUTED_VALUE"""),"TAPICHE")</f>
        <v>TAPICHE</v>
      </c>
      <c r="H1544" s="25" t="str">
        <f ca="1">IFERROR(__xludf.DUMMYFUNCTION("""COMPUTED_VALUE"""),"RURAL")</f>
        <v>RURAL</v>
      </c>
      <c r="I1544" s="25" t="str">
        <f ca="1">IFERROR(__xludf.DUMMYFUNCTION("""COMPUTED_VALUE"""),"Prioridad 5")</f>
        <v>Prioridad 5</v>
      </c>
      <c r="J1544" s="43" t="s">
        <v>263</v>
      </c>
    </row>
    <row r="1545" spans="2:10">
      <c r="B1545" s="25" t="str">
        <f ca="1">IFERROR(__xludf.DUMMYFUNCTION("""COMPUTED_VALUE"""),"MUNICIPALIDAD DISTRITAL")</f>
        <v>MUNICIPALIDAD DISTRITAL</v>
      </c>
      <c r="C1545" s="25" t="str">
        <f ca="1">IFERROR(__xludf.DUMMYFUNCTION("""COMPUTED_VALUE"""),"MUNICIPALIDAD DISTRITAL DE YAQUERANA")</f>
        <v>MUNICIPALIDAD DISTRITAL DE YAQUERANA</v>
      </c>
      <c r="D1545" s="25" t="str">
        <f ca="1">IFERROR(__xludf.DUMMYFUNCTION("""COMPUTED_VALUE"""),"LORETO")</f>
        <v>LORETO</v>
      </c>
      <c r="E1545" s="25" t="str">
        <f ca="1">IFERROR(__xludf.DUMMYFUNCTION("""COMPUTED_VALUE"""),"LORETO")</f>
        <v>LORETO</v>
      </c>
      <c r="F1545" s="25" t="str">
        <f ca="1">IFERROR(__xludf.DUMMYFUNCTION("""COMPUTED_VALUE"""),"REQUENA")</f>
        <v>REQUENA</v>
      </c>
      <c r="G1545" s="25" t="str">
        <f ca="1">IFERROR(__xludf.DUMMYFUNCTION("""COMPUTED_VALUE"""),"YAQUERANA")</f>
        <v>YAQUERANA</v>
      </c>
      <c r="H1545" s="25" t="str">
        <f ca="1">IFERROR(__xludf.DUMMYFUNCTION("""COMPUTED_VALUE"""),"RURAL")</f>
        <v>RURAL</v>
      </c>
      <c r="I1545" s="25" t="str">
        <f ca="1">IFERROR(__xludf.DUMMYFUNCTION("""COMPUTED_VALUE"""),"Prioridad 4")</f>
        <v>Prioridad 4</v>
      </c>
      <c r="J1545" s="43" t="s">
        <v>263</v>
      </c>
    </row>
    <row r="1546" spans="2:10">
      <c r="B1546" s="25" t="str">
        <f ca="1">IFERROR(__xludf.DUMMYFUNCTION("""COMPUTED_VALUE"""),"MUNICIPALIDAD PROVINCIAL")</f>
        <v>MUNICIPALIDAD PROVINCIAL</v>
      </c>
      <c r="C1546" s="25" t="str">
        <f ca="1">IFERROR(__xludf.DUMMYFUNCTION("""COMPUTED_VALUE"""),"MUNICIPALIDAD PROVINCIAL DE UCAYALI")</f>
        <v>MUNICIPALIDAD PROVINCIAL DE UCAYALI</v>
      </c>
      <c r="D1546" s="25" t="str">
        <f ca="1">IFERROR(__xludf.DUMMYFUNCTION("""COMPUTED_VALUE"""),"LORETO")</f>
        <v>LORETO</v>
      </c>
      <c r="E1546" s="25" t="str">
        <f ca="1">IFERROR(__xludf.DUMMYFUNCTION("""COMPUTED_VALUE"""),"LORETO")</f>
        <v>LORETO</v>
      </c>
      <c r="F1546" s="25" t="str">
        <f ca="1">IFERROR(__xludf.DUMMYFUNCTION("""COMPUTED_VALUE"""),"UCAYALI")</f>
        <v>UCAYALI</v>
      </c>
      <c r="G1546" s="25" t="str">
        <f ca="1">IFERROR(__xludf.DUMMYFUNCTION("""COMPUTED_VALUE"""),"CONTAMANA")</f>
        <v>CONTAMANA</v>
      </c>
      <c r="H1546" s="25" t="str">
        <f ca="1">IFERROR(__xludf.DUMMYFUNCTION("""COMPUTED_VALUE"""),"URBANO")</f>
        <v>URBANO</v>
      </c>
      <c r="I1546" s="25" t="str">
        <f ca="1">IFERROR(__xludf.DUMMYFUNCTION("""COMPUTED_VALUE"""),"Prioridad 1")</f>
        <v>Prioridad 1</v>
      </c>
      <c r="J1546" s="43" t="s">
        <v>263</v>
      </c>
    </row>
    <row r="1547" spans="2:10">
      <c r="B1547" s="25" t="str">
        <f ca="1">IFERROR(__xludf.DUMMYFUNCTION("""COMPUTED_VALUE"""),"MUNICIPALIDAD DISTRITAL")</f>
        <v>MUNICIPALIDAD DISTRITAL</v>
      </c>
      <c r="C1547" s="25" t="str">
        <f ca="1">IFERROR(__xludf.DUMMYFUNCTION("""COMPUTED_VALUE"""),"MUNICIPALIDAD DISTRITAL DE INAHUAYA")</f>
        <v>MUNICIPALIDAD DISTRITAL DE INAHUAYA</v>
      </c>
      <c r="D1547" s="25" t="str">
        <f ca="1">IFERROR(__xludf.DUMMYFUNCTION("""COMPUTED_VALUE"""),"LORETO")</f>
        <v>LORETO</v>
      </c>
      <c r="E1547" s="25" t="str">
        <f ca="1">IFERROR(__xludf.DUMMYFUNCTION("""COMPUTED_VALUE"""),"LORETO")</f>
        <v>LORETO</v>
      </c>
      <c r="F1547" s="25" t="str">
        <f ca="1">IFERROR(__xludf.DUMMYFUNCTION("""COMPUTED_VALUE"""),"UCAYALI")</f>
        <v>UCAYALI</v>
      </c>
      <c r="G1547" s="25" t="str">
        <f ca="1">IFERROR(__xludf.DUMMYFUNCTION("""COMPUTED_VALUE"""),"INAHUAYA")</f>
        <v>INAHUAYA</v>
      </c>
      <c r="H1547" s="25" t="str">
        <f ca="1">IFERROR(__xludf.DUMMYFUNCTION("""COMPUTED_VALUE"""),"RURAL")</f>
        <v>RURAL</v>
      </c>
      <c r="I1547" s="25" t="str">
        <f ca="1">IFERROR(__xludf.DUMMYFUNCTION("""COMPUTED_VALUE"""),"Prioridad 3")</f>
        <v>Prioridad 3</v>
      </c>
      <c r="J1547" s="43" t="s">
        <v>263</v>
      </c>
    </row>
    <row r="1548" spans="2:10">
      <c r="B1548" s="25" t="str">
        <f ca="1">IFERROR(__xludf.DUMMYFUNCTION("""COMPUTED_VALUE"""),"MUNICIPALIDAD DISTRITAL")</f>
        <v>MUNICIPALIDAD DISTRITAL</v>
      </c>
      <c r="C1548" s="25" t="str">
        <f ca="1">IFERROR(__xludf.DUMMYFUNCTION("""COMPUTED_VALUE"""),"MUNICIPALIDAD DISTRITAL DE PADRE MARQUEZ")</f>
        <v>MUNICIPALIDAD DISTRITAL DE PADRE MARQUEZ</v>
      </c>
      <c r="D1548" s="25" t="str">
        <f ca="1">IFERROR(__xludf.DUMMYFUNCTION("""COMPUTED_VALUE"""),"LORETO")</f>
        <v>LORETO</v>
      </c>
      <c r="E1548" s="25" t="str">
        <f ca="1">IFERROR(__xludf.DUMMYFUNCTION("""COMPUTED_VALUE"""),"LORETO")</f>
        <v>LORETO</v>
      </c>
      <c r="F1548" s="25" t="str">
        <f ca="1">IFERROR(__xludf.DUMMYFUNCTION("""COMPUTED_VALUE"""),"UCAYALI")</f>
        <v>UCAYALI</v>
      </c>
      <c r="G1548" s="25" t="str">
        <f ca="1">IFERROR(__xludf.DUMMYFUNCTION("""COMPUTED_VALUE"""),"PADRE MARQUEZ")</f>
        <v>PADRE MARQUEZ</v>
      </c>
      <c r="H1548" s="25" t="str">
        <f ca="1">IFERROR(__xludf.DUMMYFUNCTION("""COMPUTED_VALUE"""),"RURAL")</f>
        <v>RURAL</v>
      </c>
      <c r="I1548" s="25" t="str">
        <f ca="1">IFERROR(__xludf.DUMMYFUNCTION("""COMPUTED_VALUE"""),"Prioridad 5")</f>
        <v>Prioridad 5</v>
      </c>
      <c r="J1548" s="43" t="s">
        <v>263</v>
      </c>
    </row>
    <row r="1549" spans="2:10">
      <c r="B1549" s="25" t="str">
        <f ca="1">IFERROR(__xludf.DUMMYFUNCTION("""COMPUTED_VALUE"""),"MUNICIPALIDAD DISTRITAL")</f>
        <v>MUNICIPALIDAD DISTRITAL</v>
      </c>
      <c r="C1549" s="25" t="str">
        <f ca="1">IFERROR(__xludf.DUMMYFUNCTION("""COMPUTED_VALUE"""),"MUNICIPALIDAD DISTRITAL DE PAMPA HERMOSA EN UCAYALI")</f>
        <v>MUNICIPALIDAD DISTRITAL DE PAMPA HERMOSA EN UCAYALI</v>
      </c>
      <c r="D1549" s="25" t="str">
        <f ca="1">IFERROR(__xludf.DUMMYFUNCTION("""COMPUTED_VALUE"""),"LORETO")</f>
        <v>LORETO</v>
      </c>
      <c r="E1549" s="25" t="str">
        <f ca="1">IFERROR(__xludf.DUMMYFUNCTION("""COMPUTED_VALUE"""),"LORETO")</f>
        <v>LORETO</v>
      </c>
      <c r="F1549" s="25" t="str">
        <f ca="1">IFERROR(__xludf.DUMMYFUNCTION("""COMPUTED_VALUE"""),"UCAYALI")</f>
        <v>UCAYALI</v>
      </c>
      <c r="G1549" s="25" t="str">
        <f ca="1">IFERROR(__xludf.DUMMYFUNCTION("""COMPUTED_VALUE"""),"PAMPA HERMOSA")</f>
        <v>PAMPA HERMOSA</v>
      </c>
      <c r="H1549" s="25" t="str">
        <f ca="1">IFERROR(__xludf.DUMMYFUNCTION("""COMPUTED_VALUE"""),"RURAL")</f>
        <v>RURAL</v>
      </c>
      <c r="I1549" s="25" t="str">
        <f ca="1">IFERROR(__xludf.DUMMYFUNCTION("""COMPUTED_VALUE"""),"Prioridad 5")</f>
        <v>Prioridad 5</v>
      </c>
      <c r="J1549" s="43" t="s">
        <v>263</v>
      </c>
    </row>
    <row r="1550" spans="2:10">
      <c r="B1550" s="25" t="str">
        <f ca="1">IFERROR(__xludf.DUMMYFUNCTION("""COMPUTED_VALUE"""),"MUNICIPALIDAD DISTRITAL")</f>
        <v>MUNICIPALIDAD DISTRITAL</v>
      </c>
      <c r="C1550" s="25" t="str">
        <f ca="1">IFERROR(__xludf.DUMMYFUNCTION("""COMPUTED_VALUE"""),"MUNICIPALIDAD DISTRITAL DE SARAYACU")</f>
        <v>MUNICIPALIDAD DISTRITAL DE SARAYACU</v>
      </c>
      <c r="D1550" s="25" t="str">
        <f ca="1">IFERROR(__xludf.DUMMYFUNCTION("""COMPUTED_VALUE"""),"LORETO")</f>
        <v>LORETO</v>
      </c>
      <c r="E1550" s="25" t="str">
        <f ca="1">IFERROR(__xludf.DUMMYFUNCTION("""COMPUTED_VALUE"""),"LORETO")</f>
        <v>LORETO</v>
      </c>
      <c r="F1550" s="25" t="str">
        <f ca="1">IFERROR(__xludf.DUMMYFUNCTION("""COMPUTED_VALUE"""),"UCAYALI")</f>
        <v>UCAYALI</v>
      </c>
      <c r="G1550" s="25" t="str">
        <f ca="1">IFERROR(__xludf.DUMMYFUNCTION("""COMPUTED_VALUE"""),"SARAYACU")</f>
        <v>SARAYACU</v>
      </c>
      <c r="H1550" s="25" t="str">
        <f ca="1">IFERROR(__xludf.DUMMYFUNCTION("""COMPUTED_VALUE"""),"RURAL")</f>
        <v>RURAL</v>
      </c>
      <c r="I1550" s="25" t="str">
        <f ca="1">IFERROR(__xludf.DUMMYFUNCTION("""COMPUTED_VALUE"""),"Prioridad 5")</f>
        <v>Prioridad 5</v>
      </c>
      <c r="J1550" s="43" t="s">
        <v>263</v>
      </c>
    </row>
    <row r="1551" spans="2:10">
      <c r="B1551" s="25" t="str">
        <f ca="1">IFERROR(__xludf.DUMMYFUNCTION("""COMPUTED_VALUE"""),"MUNICIPALIDAD DISTRITAL")</f>
        <v>MUNICIPALIDAD DISTRITAL</v>
      </c>
      <c r="C1551" s="25" t="str">
        <f ca="1">IFERROR(__xludf.DUMMYFUNCTION("""COMPUTED_VALUE"""),"MUNICIPALIDAD DISTRITAL DE VARGAS GUERRA")</f>
        <v>MUNICIPALIDAD DISTRITAL DE VARGAS GUERRA</v>
      </c>
      <c r="D1551" s="25" t="str">
        <f ca="1">IFERROR(__xludf.DUMMYFUNCTION("""COMPUTED_VALUE"""),"LORETO")</f>
        <v>LORETO</v>
      </c>
      <c r="E1551" s="25" t="str">
        <f ca="1">IFERROR(__xludf.DUMMYFUNCTION("""COMPUTED_VALUE"""),"LORETO")</f>
        <v>LORETO</v>
      </c>
      <c r="F1551" s="25" t="str">
        <f ca="1">IFERROR(__xludf.DUMMYFUNCTION("""COMPUTED_VALUE"""),"UCAYALI")</f>
        <v>UCAYALI</v>
      </c>
      <c r="G1551" s="25" t="str">
        <f ca="1">IFERROR(__xludf.DUMMYFUNCTION("""COMPUTED_VALUE"""),"VARGAS GUERRA")</f>
        <v>VARGAS GUERRA</v>
      </c>
      <c r="H1551" s="25" t="str">
        <f ca="1">IFERROR(__xludf.DUMMYFUNCTION("""COMPUTED_VALUE"""),"URBANO")</f>
        <v>URBANO</v>
      </c>
      <c r="I1551" s="25" t="str">
        <f ca="1">IFERROR(__xludf.DUMMYFUNCTION("""COMPUTED_VALUE"""),"Prioridad 4")</f>
        <v>Prioridad 4</v>
      </c>
      <c r="J1551" s="43" t="s">
        <v>263</v>
      </c>
    </row>
    <row r="1552" spans="2:10">
      <c r="B1552" s="25" t="str">
        <f ca="1">IFERROR(__xludf.DUMMYFUNCTION("""COMPUTED_VALUE"""),"MUNICIPALIDAD PROVINCIAL")</f>
        <v>MUNICIPALIDAD PROVINCIAL</v>
      </c>
      <c r="C1552" s="25" t="str">
        <f ca="1">IFERROR(__xludf.DUMMYFUNCTION("""COMPUTED_VALUE"""),"MUNICIPALIDAD PROVINCIAL DE MANU")</f>
        <v>MUNICIPALIDAD PROVINCIAL DE MANU</v>
      </c>
      <c r="D1552" s="25" t="str">
        <f ca="1">IFERROR(__xludf.DUMMYFUNCTION("""COMPUTED_VALUE"""),"CUZCO")</f>
        <v>CUZCO</v>
      </c>
      <c r="E1552" s="25" t="str">
        <f ca="1">IFERROR(__xludf.DUMMYFUNCTION("""COMPUTED_VALUE"""),"MADRE DE DIOS")</f>
        <v>MADRE DE DIOS</v>
      </c>
      <c r="F1552" s="25" t="str">
        <f ca="1">IFERROR(__xludf.DUMMYFUNCTION("""COMPUTED_VALUE"""),"MANU")</f>
        <v>MANU</v>
      </c>
      <c r="G1552" s="25" t="str">
        <f ca="1">IFERROR(__xludf.DUMMYFUNCTION("""COMPUTED_VALUE"""),"MANU")</f>
        <v>MANU</v>
      </c>
      <c r="H1552" s="25" t="str">
        <f ca="1">IFERROR(__xludf.DUMMYFUNCTION("""COMPUTED_VALUE"""),"RURAL")</f>
        <v>RURAL</v>
      </c>
      <c r="I1552" s="25" t="str">
        <f ca="1">IFERROR(__xludf.DUMMYFUNCTION("""COMPUTED_VALUE"""),"Prioridad 1")</f>
        <v>Prioridad 1</v>
      </c>
      <c r="J1552" s="43" t="s">
        <v>263</v>
      </c>
    </row>
    <row r="1553" spans="2:10">
      <c r="B1553" s="25" t="str">
        <f ca="1">IFERROR(__xludf.DUMMYFUNCTION("""COMPUTED_VALUE"""),"MUNICIPALIDAD DISTRITAL")</f>
        <v>MUNICIPALIDAD DISTRITAL</v>
      </c>
      <c r="C1553" s="25" t="str">
        <f ca="1">IFERROR(__xludf.DUMMYFUNCTION("""COMPUTED_VALUE"""),"MUNICIPALIDAD DISTRITAL DE MADRE DE DIOS")</f>
        <v>MUNICIPALIDAD DISTRITAL DE MADRE DE DIOS</v>
      </c>
      <c r="D1553" s="25" t="str">
        <f ca="1">IFERROR(__xludf.DUMMYFUNCTION("""COMPUTED_VALUE"""),"CUZCO")</f>
        <v>CUZCO</v>
      </c>
      <c r="E1553" s="25" t="str">
        <f ca="1">IFERROR(__xludf.DUMMYFUNCTION("""COMPUTED_VALUE"""),"MADRE DE DIOS")</f>
        <v>MADRE DE DIOS</v>
      </c>
      <c r="F1553" s="25" t="str">
        <f ca="1">IFERROR(__xludf.DUMMYFUNCTION("""COMPUTED_VALUE"""),"MANU")</f>
        <v>MANU</v>
      </c>
      <c r="G1553" s="25" t="str">
        <f ca="1">IFERROR(__xludf.DUMMYFUNCTION("""COMPUTED_VALUE"""),"MADRE DE DIOS")</f>
        <v>MADRE DE DIOS</v>
      </c>
      <c r="H1553" s="25" t="str">
        <f ca="1">IFERROR(__xludf.DUMMYFUNCTION("""COMPUTED_VALUE"""),"RURAL")</f>
        <v>RURAL</v>
      </c>
      <c r="I1553" s="25" t="str">
        <f ca="1">IFERROR(__xludf.DUMMYFUNCTION("""COMPUTED_VALUE"""),"Prioridad 2")</f>
        <v>Prioridad 2</v>
      </c>
      <c r="J1553" s="43" t="s">
        <v>263</v>
      </c>
    </row>
    <row r="1554" spans="2:10">
      <c r="B1554" s="25" t="str">
        <f ca="1">IFERROR(__xludf.DUMMYFUNCTION("""COMPUTED_VALUE"""),"MUNICIPALIDAD DISTRITAL")</f>
        <v>MUNICIPALIDAD DISTRITAL</v>
      </c>
      <c r="C1554" s="25" t="str">
        <f ca="1">IFERROR(__xludf.DUMMYFUNCTION("""COMPUTED_VALUE"""),"MUNICIPALIDAD DISTRITAL DE FITZCARRALD")</f>
        <v>MUNICIPALIDAD DISTRITAL DE FITZCARRALD</v>
      </c>
      <c r="D1554" s="25" t="str">
        <f ca="1">IFERROR(__xludf.DUMMYFUNCTION("""COMPUTED_VALUE"""),"CUZCO")</f>
        <v>CUZCO</v>
      </c>
      <c r="E1554" s="25" t="str">
        <f ca="1">IFERROR(__xludf.DUMMYFUNCTION("""COMPUTED_VALUE"""),"MADRE DE DIOS")</f>
        <v>MADRE DE DIOS</v>
      </c>
      <c r="F1554" s="25" t="str">
        <f ca="1">IFERROR(__xludf.DUMMYFUNCTION("""COMPUTED_VALUE"""),"MANU")</f>
        <v>MANU</v>
      </c>
      <c r="G1554" s="25" t="str">
        <f ca="1">IFERROR(__xludf.DUMMYFUNCTION("""COMPUTED_VALUE"""),"FITZCARRALD")</f>
        <v>FITZCARRALD</v>
      </c>
      <c r="H1554" s="25" t="str">
        <f ca="1">IFERROR(__xludf.DUMMYFUNCTION("""COMPUTED_VALUE"""),"RURAL")</f>
        <v>RURAL</v>
      </c>
      <c r="I1554" s="25" t="str">
        <f ca="1">IFERROR(__xludf.DUMMYFUNCTION("""COMPUTED_VALUE"""),"Prioridad 3")</f>
        <v>Prioridad 3</v>
      </c>
      <c r="J1554" s="43" t="s">
        <v>263</v>
      </c>
    </row>
    <row r="1555" spans="2:10">
      <c r="B1555" s="25" t="str">
        <f ca="1">IFERROR(__xludf.DUMMYFUNCTION("""COMPUTED_VALUE"""),"MUNICIPALIDAD DISTRITAL")</f>
        <v>MUNICIPALIDAD DISTRITAL</v>
      </c>
      <c r="C1555" s="25" t="str">
        <f ca="1">IFERROR(__xludf.DUMMYFUNCTION("""COMPUTED_VALUE"""),"MUNICIPALIDAD DISTRITAL DE HUEPETUHE")</f>
        <v>MUNICIPALIDAD DISTRITAL DE HUEPETUHE</v>
      </c>
      <c r="D1555" s="25" t="str">
        <f ca="1">IFERROR(__xludf.DUMMYFUNCTION("""COMPUTED_VALUE"""),"CUZCO")</f>
        <v>CUZCO</v>
      </c>
      <c r="E1555" s="25" t="str">
        <f ca="1">IFERROR(__xludf.DUMMYFUNCTION("""COMPUTED_VALUE"""),"MADRE DE DIOS")</f>
        <v>MADRE DE DIOS</v>
      </c>
      <c r="F1555" s="25" t="str">
        <f ca="1">IFERROR(__xludf.DUMMYFUNCTION("""COMPUTED_VALUE"""),"MANU")</f>
        <v>MANU</v>
      </c>
      <c r="G1555" s="25" t="str">
        <f ca="1">IFERROR(__xludf.DUMMYFUNCTION("""COMPUTED_VALUE"""),"HUEPETUHE")</f>
        <v>HUEPETUHE</v>
      </c>
      <c r="H1555" s="25" t="str">
        <f ca="1">IFERROR(__xludf.DUMMYFUNCTION("""COMPUTED_VALUE"""),"URBANO")</f>
        <v>URBANO</v>
      </c>
      <c r="I1555" s="25" t="str">
        <f ca="1">IFERROR(__xludf.DUMMYFUNCTION("""COMPUTED_VALUE"""),"Prioridad 1")</f>
        <v>Prioridad 1</v>
      </c>
      <c r="J1555" s="43" t="s">
        <v>264</v>
      </c>
    </row>
    <row r="1556" spans="2:10">
      <c r="B1556" s="25" t="str">
        <f ca="1">IFERROR(__xludf.DUMMYFUNCTION("""COMPUTED_VALUE"""),"MUNICIPALIDAD PROVINCIAL")</f>
        <v>MUNICIPALIDAD PROVINCIAL</v>
      </c>
      <c r="C1556" s="25" t="str">
        <f ca="1">IFERROR(__xludf.DUMMYFUNCTION("""COMPUTED_VALUE"""),"MUNICIPALIDAD PROVINCIAL DE TAHUAMANU")</f>
        <v>MUNICIPALIDAD PROVINCIAL DE TAHUAMANU</v>
      </c>
      <c r="D1556" s="25" t="str">
        <f ca="1">IFERROR(__xludf.DUMMYFUNCTION("""COMPUTED_VALUE"""),"CUZCO")</f>
        <v>CUZCO</v>
      </c>
      <c r="E1556" s="25" t="str">
        <f ca="1">IFERROR(__xludf.DUMMYFUNCTION("""COMPUTED_VALUE"""),"MADRE DE DIOS")</f>
        <v>MADRE DE DIOS</v>
      </c>
      <c r="F1556" s="25" t="str">
        <f ca="1">IFERROR(__xludf.DUMMYFUNCTION("""COMPUTED_VALUE"""),"TAHUAMANU")</f>
        <v>TAHUAMANU</v>
      </c>
      <c r="G1556" s="25" t="str">
        <f ca="1">IFERROR(__xludf.DUMMYFUNCTION("""COMPUTED_VALUE"""),"IÑAPARI")</f>
        <v>IÑAPARI</v>
      </c>
      <c r="H1556" s="25" t="str">
        <f ca="1">IFERROR(__xludf.DUMMYFUNCTION("""COMPUTED_VALUE"""),"RURAL")</f>
        <v>RURAL</v>
      </c>
      <c r="I1556" s="25" t="str">
        <f ca="1">IFERROR(__xludf.DUMMYFUNCTION("""COMPUTED_VALUE"""),"Prioridad 1")</f>
        <v>Prioridad 1</v>
      </c>
      <c r="J1556" s="43" t="s">
        <v>264</v>
      </c>
    </row>
    <row r="1557" spans="2:10">
      <c r="B1557" s="25" t="str">
        <f ca="1">IFERROR(__xludf.DUMMYFUNCTION("""COMPUTED_VALUE"""),"MUNICIPALIDAD DISTRITAL")</f>
        <v>MUNICIPALIDAD DISTRITAL</v>
      </c>
      <c r="C1557" s="25" t="str">
        <f ca="1">IFERROR(__xludf.DUMMYFUNCTION("""COMPUTED_VALUE"""),"MUNICIPALIDAD DISTRITAL DE IBERIA")</f>
        <v>MUNICIPALIDAD DISTRITAL DE IBERIA</v>
      </c>
      <c r="D1557" s="25" t="str">
        <f ca="1">IFERROR(__xludf.DUMMYFUNCTION("""COMPUTED_VALUE"""),"CUZCO")</f>
        <v>CUZCO</v>
      </c>
      <c r="E1557" s="25" t="str">
        <f ca="1">IFERROR(__xludf.DUMMYFUNCTION("""COMPUTED_VALUE"""),"MADRE DE DIOS")</f>
        <v>MADRE DE DIOS</v>
      </c>
      <c r="F1557" s="25" t="str">
        <f ca="1">IFERROR(__xludf.DUMMYFUNCTION("""COMPUTED_VALUE"""),"TAHUAMANU")</f>
        <v>TAHUAMANU</v>
      </c>
      <c r="G1557" s="25" t="str">
        <f ca="1">IFERROR(__xludf.DUMMYFUNCTION("""COMPUTED_VALUE"""),"IBERIA")</f>
        <v>IBERIA</v>
      </c>
      <c r="H1557" s="25" t="str">
        <f ca="1">IFERROR(__xludf.DUMMYFUNCTION("""COMPUTED_VALUE"""),"URBANO")</f>
        <v>URBANO</v>
      </c>
      <c r="I1557" s="25" t="str">
        <f ca="1">IFERROR(__xludf.DUMMYFUNCTION("""COMPUTED_VALUE"""),"Prioridad 2")</f>
        <v>Prioridad 2</v>
      </c>
      <c r="J1557" s="43" t="s">
        <v>264</v>
      </c>
    </row>
    <row r="1558" spans="2:10">
      <c r="B1558" s="25" t="str">
        <f ca="1">IFERROR(__xludf.DUMMYFUNCTION("""COMPUTED_VALUE"""),"MUNICIPALIDAD DISTRITAL")</f>
        <v>MUNICIPALIDAD DISTRITAL</v>
      </c>
      <c r="C1558" s="25" t="str">
        <f ca="1">IFERROR(__xludf.DUMMYFUNCTION("""COMPUTED_VALUE"""),"MUNICIPALIDAD DISTRITAL DE TAHUAMANU")</f>
        <v>MUNICIPALIDAD DISTRITAL DE TAHUAMANU</v>
      </c>
      <c r="D1558" s="25" t="str">
        <f ca="1">IFERROR(__xludf.DUMMYFUNCTION("""COMPUTED_VALUE"""),"CUZCO")</f>
        <v>CUZCO</v>
      </c>
      <c r="E1558" s="25" t="str">
        <f ca="1">IFERROR(__xludf.DUMMYFUNCTION("""COMPUTED_VALUE"""),"MADRE DE DIOS")</f>
        <v>MADRE DE DIOS</v>
      </c>
      <c r="F1558" s="25" t="str">
        <f ca="1">IFERROR(__xludf.DUMMYFUNCTION("""COMPUTED_VALUE"""),"TAHUAMANU")</f>
        <v>TAHUAMANU</v>
      </c>
      <c r="G1558" s="25" t="str">
        <f ca="1">IFERROR(__xludf.DUMMYFUNCTION("""COMPUTED_VALUE"""),"TAHUAMANU")</f>
        <v>TAHUAMANU</v>
      </c>
      <c r="H1558" s="25" t="str">
        <f ca="1">IFERROR(__xludf.DUMMYFUNCTION("""COMPUTED_VALUE"""),"RURAL")</f>
        <v>RURAL</v>
      </c>
      <c r="I1558" s="25" t="str">
        <f ca="1">IFERROR(__xludf.DUMMYFUNCTION("""COMPUTED_VALUE"""),"Prioridad 2")</f>
        <v>Prioridad 2</v>
      </c>
      <c r="J1558" s="43" t="s">
        <v>264</v>
      </c>
    </row>
    <row r="1559" spans="2:10">
      <c r="B1559" s="25" t="str">
        <f ca="1">IFERROR(__xludf.DUMMYFUNCTION("""COMPUTED_VALUE"""),"MUNICIPALIDAD PROVINCIAL")</f>
        <v>MUNICIPALIDAD PROVINCIAL</v>
      </c>
      <c r="C1559" s="25" t="str">
        <f ca="1">IFERROR(__xludf.DUMMYFUNCTION("""COMPUTED_VALUE"""),"MUNICIPALIDAD PROVINCIAL DE TAMBOPATA")</f>
        <v>MUNICIPALIDAD PROVINCIAL DE TAMBOPATA</v>
      </c>
      <c r="D1559" s="25" t="str">
        <f ca="1">IFERROR(__xludf.DUMMYFUNCTION("""COMPUTED_VALUE"""),"CUZCO")</f>
        <v>CUZCO</v>
      </c>
      <c r="E1559" s="25" t="str">
        <f ca="1">IFERROR(__xludf.DUMMYFUNCTION("""COMPUTED_VALUE"""),"MADRE DE DIOS")</f>
        <v>MADRE DE DIOS</v>
      </c>
      <c r="F1559" s="25" t="str">
        <f ca="1">IFERROR(__xludf.DUMMYFUNCTION("""COMPUTED_VALUE"""),"TAMBOPATA")</f>
        <v>TAMBOPATA</v>
      </c>
      <c r="G1559" s="25" t="str">
        <f ca="1">IFERROR(__xludf.DUMMYFUNCTION("""COMPUTED_VALUE"""),"TAMBOPATA")</f>
        <v>TAMBOPATA</v>
      </c>
      <c r="H1559" s="25" t="str">
        <f ca="1">IFERROR(__xludf.DUMMYFUNCTION("""COMPUTED_VALUE"""),"URBANO")</f>
        <v>URBANO</v>
      </c>
      <c r="I1559" s="25" t="str">
        <f ca="1">IFERROR(__xludf.DUMMYFUNCTION("""COMPUTED_VALUE"""),"Prioridad 1")</f>
        <v>Prioridad 1</v>
      </c>
      <c r="J1559" s="43" t="s">
        <v>264</v>
      </c>
    </row>
    <row r="1560" spans="2:10">
      <c r="B1560" s="25" t="str">
        <f ca="1">IFERROR(__xludf.DUMMYFUNCTION("""COMPUTED_VALUE"""),"MUNICIPALIDAD DISTRITAL")</f>
        <v>MUNICIPALIDAD DISTRITAL</v>
      </c>
      <c r="C1560" s="25" t="str">
        <f ca="1">IFERROR(__xludf.DUMMYFUNCTION("""COMPUTED_VALUE"""),"MUNICIPALIDAD DISTRITAL DE LAS PIEDRAS")</f>
        <v>MUNICIPALIDAD DISTRITAL DE LAS PIEDRAS</v>
      </c>
      <c r="D1560" s="25" t="str">
        <f ca="1">IFERROR(__xludf.DUMMYFUNCTION("""COMPUTED_VALUE"""),"CUZCO")</f>
        <v>CUZCO</v>
      </c>
      <c r="E1560" s="25" t="str">
        <f ca="1">IFERROR(__xludf.DUMMYFUNCTION("""COMPUTED_VALUE"""),"MADRE DE DIOS")</f>
        <v>MADRE DE DIOS</v>
      </c>
      <c r="F1560" s="25" t="str">
        <f ca="1">IFERROR(__xludf.DUMMYFUNCTION("""COMPUTED_VALUE"""),"TAMBOPATA")</f>
        <v>TAMBOPATA</v>
      </c>
      <c r="G1560" s="25" t="str">
        <f ca="1">IFERROR(__xludf.DUMMYFUNCTION("""COMPUTED_VALUE"""),"LAS PIEDRAS")</f>
        <v>LAS PIEDRAS</v>
      </c>
      <c r="H1560" s="25" t="str">
        <f ca="1">IFERROR(__xludf.DUMMYFUNCTION("""COMPUTED_VALUE"""),"URBANO")</f>
        <v>URBANO</v>
      </c>
      <c r="I1560" s="25" t="str">
        <f ca="1">IFERROR(__xludf.DUMMYFUNCTION("""COMPUTED_VALUE"""),"Prioridad 2")</f>
        <v>Prioridad 2</v>
      </c>
      <c r="J1560" s="43" t="s">
        <v>264</v>
      </c>
    </row>
    <row r="1561" spans="2:10">
      <c r="B1561" s="25" t="str">
        <f ca="1">IFERROR(__xludf.DUMMYFUNCTION("""COMPUTED_VALUE"""),"MUNICIPALIDAD DISTRITAL")</f>
        <v>MUNICIPALIDAD DISTRITAL</v>
      </c>
      <c r="C1561" s="25" t="str">
        <f ca="1">IFERROR(__xludf.DUMMYFUNCTION("""COMPUTED_VALUE"""),"MUNICIPALIDAD DISTRITAL DE INAMBARI")</f>
        <v>MUNICIPALIDAD DISTRITAL DE INAMBARI</v>
      </c>
      <c r="D1561" s="25" t="str">
        <f ca="1">IFERROR(__xludf.DUMMYFUNCTION("""COMPUTED_VALUE"""),"CUZCO")</f>
        <v>CUZCO</v>
      </c>
      <c r="E1561" s="25" t="str">
        <f ca="1">IFERROR(__xludf.DUMMYFUNCTION("""COMPUTED_VALUE"""),"MADRE DE DIOS")</f>
        <v>MADRE DE DIOS</v>
      </c>
      <c r="F1561" s="25" t="str">
        <f ca="1">IFERROR(__xludf.DUMMYFUNCTION("""COMPUTED_VALUE"""),"TAMBOPATA")</f>
        <v>TAMBOPATA</v>
      </c>
      <c r="G1561" s="25" t="str">
        <f ca="1">IFERROR(__xludf.DUMMYFUNCTION("""COMPUTED_VALUE"""),"INAMBARI")</f>
        <v>INAMBARI</v>
      </c>
      <c r="H1561" s="25" t="str">
        <f ca="1">IFERROR(__xludf.DUMMYFUNCTION("""COMPUTED_VALUE"""),"URBANO")</f>
        <v>URBANO</v>
      </c>
      <c r="I1561" s="25" t="str">
        <f ca="1">IFERROR(__xludf.DUMMYFUNCTION("""COMPUTED_VALUE"""),"Prioridad 1")</f>
        <v>Prioridad 1</v>
      </c>
      <c r="J1561" s="43" t="s">
        <v>264</v>
      </c>
    </row>
    <row r="1562" spans="2:10">
      <c r="B1562" s="25" t="str">
        <f ca="1">IFERROR(__xludf.DUMMYFUNCTION("""COMPUTED_VALUE"""),"MUNICIPALIDAD DISTRITAL")</f>
        <v>MUNICIPALIDAD DISTRITAL</v>
      </c>
      <c r="C1562" s="25" t="str">
        <f ca="1">IFERROR(__xludf.DUMMYFUNCTION("""COMPUTED_VALUE"""),"MUNICIPALIDAD DISTRITAL DE LABERINTO")</f>
        <v>MUNICIPALIDAD DISTRITAL DE LABERINTO</v>
      </c>
      <c r="D1562" s="25" t="str">
        <f ca="1">IFERROR(__xludf.DUMMYFUNCTION("""COMPUTED_VALUE"""),"CUZCO")</f>
        <v>CUZCO</v>
      </c>
      <c r="E1562" s="25" t="str">
        <f ca="1">IFERROR(__xludf.DUMMYFUNCTION("""COMPUTED_VALUE"""),"MADRE DE DIOS")</f>
        <v>MADRE DE DIOS</v>
      </c>
      <c r="F1562" s="25" t="str">
        <f ca="1">IFERROR(__xludf.DUMMYFUNCTION("""COMPUTED_VALUE"""),"TAMBOPATA")</f>
        <v>TAMBOPATA</v>
      </c>
      <c r="G1562" s="25" t="str">
        <f ca="1">IFERROR(__xludf.DUMMYFUNCTION("""COMPUTED_VALUE"""),"LABERINTO")</f>
        <v>LABERINTO</v>
      </c>
      <c r="H1562" s="25" t="str">
        <f ca="1">IFERROR(__xludf.DUMMYFUNCTION("""COMPUTED_VALUE"""),"URBANO")</f>
        <v>URBANO</v>
      </c>
      <c r="I1562" s="25" t="str">
        <f ca="1">IFERROR(__xludf.DUMMYFUNCTION("""COMPUTED_VALUE"""),"Prioridad 1")</f>
        <v>Prioridad 1</v>
      </c>
      <c r="J1562" s="43" t="s">
        <v>264</v>
      </c>
    </row>
    <row r="1563" spans="2:10">
      <c r="B1563" s="25" t="str">
        <f ca="1">IFERROR(__xludf.DUMMYFUNCTION("""COMPUTED_VALUE"""),"GOBIERNO REGIONAL")</f>
        <v>GOBIERNO REGIONAL</v>
      </c>
      <c r="C1563" s="25" t="str">
        <f ca="1">IFERROR(__xludf.DUMMYFUNCTION("""COMPUTED_VALUE"""),"GOBIERNO REGIONAL DE MADRE DE DIOS")</f>
        <v>GOBIERNO REGIONAL DE MADRE DE DIOS</v>
      </c>
      <c r="D1563" s="25" t="str">
        <f ca="1">IFERROR(__xludf.DUMMYFUNCTION("""COMPUTED_VALUE"""),"CUZCO")</f>
        <v>CUZCO</v>
      </c>
      <c r="E1563" s="25" t="str">
        <f ca="1">IFERROR(__xludf.DUMMYFUNCTION("""COMPUTED_VALUE"""),"MADRE DE DIOS")</f>
        <v>MADRE DE DIOS</v>
      </c>
      <c r="F1563" s="25" t="str">
        <f ca="1">IFERROR(__xludf.DUMMYFUNCTION("""COMPUTED_VALUE"""),"TAMBOPATA")</f>
        <v>TAMBOPATA</v>
      </c>
      <c r="G1563" s="25" t="str">
        <f ca="1">IFERROR(__xludf.DUMMYFUNCTION("""COMPUTED_VALUE"""),"TAMBOPATA")</f>
        <v>TAMBOPATA</v>
      </c>
      <c r="H1563" s="25" t="str">
        <f ca="1">IFERROR(__xludf.DUMMYFUNCTION("""COMPUTED_VALUE"""),"URBANO")</f>
        <v>URBANO</v>
      </c>
      <c r="I1563" s="25" t="str">
        <f ca="1">IFERROR(__xludf.DUMMYFUNCTION("""COMPUTED_VALUE"""),"Prioridad 1")</f>
        <v>Prioridad 1</v>
      </c>
      <c r="J1563" s="43" t="s">
        <v>264</v>
      </c>
    </row>
    <row r="1564" spans="2:10">
      <c r="B1564" s="25" t="str">
        <f ca="1">IFERROR(__xludf.DUMMYFUNCTION("""COMPUTED_VALUE"""),"MUNICIPALIDAD PROVINCIAL")</f>
        <v>MUNICIPALIDAD PROVINCIAL</v>
      </c>
      <c r="C1564" s="25" t="str">
        <f ca="1">IFERROR(__xludf.DUMMYFUNCTION("""COMPUTED_VALUE"""),"MUNICIPALIDAD PROVINCIAL DE GENERAL SANCHEZ CERRO")</f>
        <v>MUNICIPALIDAD PROVINCIAL DE GENERAL SANCHEZ CERRO</v>
      </c>
      <c r="D1564" s="25" t="str">
        <f ca="1">IFERROR(__xludf.DUMMYFUNCTION("""COMPUTED_VALUE"""),"AREQUIPA")</f>
        <v>AREQUIPA</v>
      </c>
      <c r="E1564" s="25" t="str">
        <f ca="1">IFERROR(__xludf.DUMMYFUNCTION("""COMPUTED_VALUE"""),"MOQUEGUA")</f>
        <v>MOQUEGUA</v>
      </c>
      <c r="F1564" s="25" t="str">
        <f ca="1">IFERROR(__xludf.DUMMYFUNCTION("""COMPUTED_VALUE"""),"GENERAL SANCHEZ CERRO")</f>
        <v>GENERAL SANCHEZ CERRO</v>
      </c>
      <c r="G1564" s="25" t="str">
        <f ca="1">IFERROR(__xludf.DUMMYFUNCTION("""COMPUTED_VALUE"""),"OMATE")</f>
        <v>OMATE</v>
      </c>
      <c r="H1564" s="25" t="str">
        <f ca="1">IFERROR(__xludf.DUMMYFUNCTION("""COMPUTED_VALUE"""),"URBANO")</f>
        <v>URBANO</v>
      </c>
      <c r="I1564" s="25" t="str">
        <f ca="1">IFERROR(__xludf.DUMMYFUNCTION("""COMPUTED_VALUE"""),"Prioridad 2")</f>
        <v>Prioridad 2</v>
      </c>
      <c r="J1564" s="43" t="s">
        <v>264</v>
      </c>
    </row>
    <row r="1565" spans="2:10">
      <c r="B1565" s="25" t="str">
        <f ca="1">IFERROR(__xludf.DUMMYFUNCTION("""COMPUTED_VALUE"""),"MUNICIPALIDAD DISTRITAL")</f>
        <v>MUNICIPALIDAD DISTRITAL</v>
      </c>
      <c r="C1565" s="25" t="str">
        <f ca="1">IFERROR(__xludf.DUMMYFUNCTION("""COMPUTED_VALUE"""),"MUNICIPALIDAD DISTRITAL DE CHOJATA")</f>
        <v>MUNICIPALIDAD DISTRITAL DE CHOJATA</v>
      </c>
      <c r="D1565" s="25" t="str">
        <f ca="1">IFERROR(__xludf.DUMMYFUNCTION("""COMPUTED_VALUE"""),"AREQUIPA")</f>
        <v>AREQUIPA</v>
      </c>
      <c r="E1565" s="25" t="str">
        <f ca="1">IFERROR(__xludf.DUMMYFUNCTION("""COMPUTED_VALUE"""),"MOQUEGUA")</f>
        <v>MOQUEGUA</v>
      </c>
      <c r="F1565" s="25" t="str">
        <f ca="1">IFERROR(__xludf.DUMMYFUNCTION("""COMPUTED_VALUE"""),"GENERAL SANCHEZ CERRO")</f>
        <v>GENERAL SANCHEZ CERRO</v>
      </c>
      <c r="G1565" s="25" t="str">
        <f ca="1">IFERROR(__xludf.DUMMYFUNCTION("""COMPUTED_VALUE"""),"CHOJATA")</f>
        <v>CHOJATA</v>
      </c>
      <c r="H1565" s="25" t="str">
        <f ca="1">IFERROR(__xludf.DUMMYFUNCTION("""COMPUTED_VALUE"""),"RURAL")</f>
        <v>RURAL</v>
      </c>
      <c r="I1565" s="25" t="str">
        <f ca="1">IFERROR(__xludf.DUMMYFUNCTION("""COMPUTED_VALUE"""),"Prioridad 5")</f>
        <v>Prioridad 5</v>
      </c>
      <c r="J1565" s="43" t="s">
        <v>264</v>
      </c>
    </row>
    <row r="1566" spans="2:10">
      <c r="B1566" s="25" t="str">
        <f ca="1">IFERROR(__xludf.DUMMYFUNCTION("""COMPUTED_VALUE"""),"MUNICIPALIDAD DISTRITAL")</f>
        <v>MUNICIPALIDAD DISTRITAL</v>
      </c>
      <c r="C1566" s="25" t="str">
        <f ca="1">IFERROR(__xludf.DUMMYFUNCTION("""COMPUTED_VALUE"""),"MUNICIPALIDAD DISTRITAL DE COALAQUE")</f>
        <v>MUNICIPALIDAD DISTRITAL DE COALAQUE</v>
      </c>
      <c r="D1566" s="25" t="str">
        <f ca="1">IFERROR(__xludf.DUMMYFUNCTION("""COMPUTED_VALUE"""),"AREQUIPA")</f>
        <v>AREQUIPA</v>
      </c>
      <c r="E1566" s="25" t="str">
        <f ca="1">IFERROR(__xludf.DUMMYFUNCTION("""COMPUTED_VALUE"""),"MOQUEGUA")</f>
        <v>MOQUEGUA</v>
      </c>
      <c r="F1566" s="25" t="str">
        <f ca="1">IFERROR(__xludf.DUMMYFUNCTION("""COMPUTED_VALUE"""),"GENERAL SANCHEZ CERRO")</f>
        <v>GENERAL SANCHEZ CERRO</v>
      </c>
      <c r="G1566" s="25" t="str">
        <f ca="1">IFERROR(__xludf.DUMMYFUNCTION("""COMPUTED_VALUE"""),"COALAQUE")</f>
        <v>COALAQUE</v>
      </c>
      <c r="H1566" s="25" t="str">
        <f ca="1">IFERROR(__xludf.DUMMYFUNCTION("""COMPUTED_VALUE"""),"RURAL")</f>
        <v>RURAL</v>
      </c>
      <c r="I1566" s="25" t="str">
        <f ca="1">IFERROR(__xludf.DUMMYFUNCTION("""COMPUTED_VALUE"""),"Prioridad 2")</f>
        <v>Prioridad 2</v>
      </c>
      <c r="J1566" s="43" t="s">
        <v>264</v>
      </c>
    </row>
    <row r="1567" spans="2:10">
      <c r="B1567" s="25" t="str">
        <f ca="1">IFERROR(__xludf.DUMMYFUNCTION("""COMPUTED_VALUE"""),"MUNICIPALIDAD DISTRITAL")</f>
        <v>MUNICIPALIDAD DISTRITAL</v>
      </c>
      <c r="C1567" s="25" t="str">
        <f ca="1">IFERROR(__xludf.DUMMYFUNCTION("""COMPUTED_VALUE"""),"MUNICIPALIDAD DISTRITAL DE ICHUÑA")</f>
        <v>MUNICIPALIDAD DISTRITAL DE ICHUÑA</v>
      </c>
      <c r="D1567" s="25" t="str">
        <f ca="1">IFERROR(__xludf.DUMMYFUNCTION("""COMPUTED_VALUE"""),"AREQUIPA")</f>
        <v>AREQUIPA</v>
      </c>
      <c r="E1567" s="25" t="str">
        <f ca="1">IFERROR(__xludf.DUMMYFUNCTION("""COMPUTED_VALUE"""),"MOQUEGUA")</f>
        <v>MOQUEGUA</v>
      </c>
      <c r="F1567" s="25" t="str">
        <f ca="1">IFERROR(__xludf.DUMMYFUNCTION("""COMPUTED_VALUE"""),"GENERAL SANCHEZ CERRO")</f>
        <v>GENERAL SANCHEZ CERRO</v>
      </c>
      <c r="G1567" s="25" t="str">
        <f ca="1">IFERROR(__xludf.DUMMYFUNCTION("""COMPUTED_VALUE"""),"ICHUÑA")</f>
        <v>ICHUÑA</v>
      </c>
      <c r="H1567" s="25" t="str">
        <f ca="1">IFERROR(__xludf.DUMMYFUNCTION("""COMPUTED_VALUE"""),"RURAL")</f>
        <v>RURAL</v>
      </c>
      <c r="I1567" s="25" t="str">
        <f ca="1">IFERROR(__xludf.DUMMYFUNCTION("""COMPUTED_VALUE"""),"Prioridad 3")</f>
        <v>Prioridad 3</v>
      </c>
      <c r="J1567" s="43" t="s">
        <v>264</v>
      </c>
    </row>
    <row r="1568" spans="2:10">
      <c r="B1568" s="25" t="str">
        <f ca="1">IFERROR(__xludf.DUMMYFUNCTION("""COMPUTED_VALUE"""),"MUNICIPALIDAD DISTRITAL")</f>
        <v>MUNICIPALIDAD DISTRITAL</v>
      </c>
      <c r="C1568" s="25" t="str">
        <f ca="1">IFERROR(__xludf.DUMMYFUNCTION("""COMPUTED_VALUE"""),"MUNICIPALIDAD DISTRITAL DE LA CAPILLA")</f>
        <v>MUNICIPALIDAD DISTRITAL DE LA CAPILLA</v>
      </c>
      <c r="D1568" s="25" t="str">
        <f ca="1">IFERROR(__xludf.DUMMYFUNCTION("""COMPUTED_VALUE"""),"AREQUIPA")</f>
        <v>AREQUIPA</v>
      </c>
      <c r="E1568" s="25" t="str">
        <f ca="1">IFERROR(__xludf.DUMMYFUNCTION("""COMPUTED_VALUE"""),"MOQUEGUA")</f>
        <v>MOQUEGUA</v>
      </c>
      <c r="F1568" s="25" t="str">
        <f ca="1">IFERROR(__xludf.DUMMYFUNCTION("""COMPUTED_VALUE"""),"GENERAL SANCHEZ CERRO")</f>
        <v>GENERAL SANCHEZ CERRO</v>
      </c>
      <c r="G1568" s="25" t="str">
        <f ca="1">IFERROR(__xludf.DUMMYFUNCTION("""COMPUTED_VALUE"""),"LA CAPILLA")</f>
        <v>LA CAPILLA</v>
      </c>
      <c r="H1568" s="25" t="str">
        <f ca="1">IFERROR(__xludf.DUMMYFUNCTION("""COMPUTED_VALUE"""),"RURAL")</f>
        <v>RURAL</v>
      </c>
      <c r="I1568" s="25" t="str">
        <f ca="1">IFERROR(__xludf.DUMMYFUNCTION("""COMPUTED_VALUE"""),"Prioridad 5")</f>
        <v>Prioridad 5</v>
      </c>
      <c r="J1568" s="43" t="s">
        <v>264</v>
      </c>
    </row>
    <row r="1569" spans="2:10">
      <c r="B1569" s="25" t="str">
        <f ca="1">IFERROR(__xludf.DUMMYFUNCTION("""COMPUTED_VALUE"""),"MUNICIPALIDAD DISTRITAL")</f>
        <v>MUNICIPALIDAD DISTRITAL</v>
      </c>
      <c r="C1569" s="25" t="str">
        <f ca="1">IFERROR(__xludf.DUMMYFUNCTION("""COMPUTED_VALUE"""),"MUNICIPALIDAD DISTRITAL DE LLOQUE")</f>
        <v>MUNICIPALIDAD DISTRITAL DE LLOQUE</v>
      </c>
      <c r="D1569" s="25" t="str">
        <f ca="1">IFERROR(__xludf.DUMMYFUNCTION("""COMPUTED_VALUE"""),"AREQUIPA")</f>
        <v>AREQUIPA</v>
      </c>
      <c r="E1569" s="25" t="str">
        <f ca="1">IFERROR(__xludf.DUMMYFUNCTION("""COMPUTED_VALUE"""),"MOQUEGUA")</f>
        <v>MOQUEGUA</v>
      </c>
      <c r="F1569" s="25" t="str">
        <f ca="1">IFERROR(__xludf.DUMMYFUNCTION("""COMPUTED_VALUE"""),"GENERAL SANCHEZ CERRO")</f>
        <v>GENERAL SANCHEZ CERRO</v>
      </c>
      <c r="G1569" s="25" t="str">
        <f ca="1">IFERROR(__xludf.DUMMYFUNCTION("""COMPUTED_VALUE"""),"LLOQUE")</f>
        <v>LLOQUE</v>
      </c>
      <c r="H1569" s="25" t="str">
        <f ca="1">IFERROR(__xludf.DUMMYFUNCTION("""COMPUTED_VALUE"""),"RURAL")</f>
        <v>RURAL</v>
      </c>
      <c r="I1569" s="25" t="str">
        <f ca="1">IFERROR(__xludf.DUMMYFUNCTION("""COMPUTED_VALUE"""),"Prioridad 4")</f>
        <v>Prioridad 4</v>
      </c>
      <c r="J1569" s="43" t="s">
        <v>264</v>
      </c>
    </row>
    <row r="1570" spans="2:10">
      <c r="B1570" s="25" t="str">
        <f ca="1">IFERROR(__xludf.DUMMYFUNCTION("""COMPUTED_VALUE"""),"MUNICIPALIDAD DISTRITAL")</f>
        <v>MUNICIPALIDAD DISTRITAL</v>
      </c>
      <c r="C1570" s="25" t="str">
        <f ca="1">IFERROR(__xludf.DUMMYFUNCTION("""COMPUTED_VALUE"""),"MUNICIPALIDAD DISTRITAL DE MATALAQUE")</f>
        <v>MUNICIPALIDAD DISTRITAL DE MATALAQUE</v>
      </c>
      <c r="D1570" s="25" t="str">
        <f ca="1">IFERROR(__xludf.DUMMYFUNCTION("""COMPUTED_VALUE"""),"AREQUIPA")</f>
        <v>AREQUIPA</v>
      </c>
      <c r="E1570" s="25" t="str">
        <f ca="1">IFERROR(__xludf.DUMMYFUNCTION("""COMPUTED_VALUE"""),"MOQUEGUA")</f>
        <v>MOQUEGUA</v>
      </c>
      <c r="F1570" s="25" t="str">
        <f ca="1">IFERROR(__xludf.DUMMYFUNCTION("""COMPUTED_VALUE"""),"GENERAL SANCHEZ CERRO")</f>
        <v>GENERAL SANCHEZ CERRO</v>
      </c>
      <c r="G1570" s="25" t="str">
        <f ca="1">IFERROR(__xludf.DUMMYFUNCTION("""COMPUTED_VALUE"""),"MATALAQUE")</f>
        <v>MATALAQUE</v>
      </c>
      <c r="H1570" s="25" t="str">
        <f ca="1">IFERROR(__xludf.DUMMYFUNCTION("""COMPUTED_VALUE"""),"RURAL")</f>
        <v>RURAL</v>
      </c>
      <c r="I1570" s="25" t="str">
        <f ca="1">IFERROR(__xludf.DUMMYFUNCTION("""COMPUTED_VALUE"""),"Prioridad 5")</f>
        <v>Prioridad 5</v>
      </c>
      <c r="J1570" s="43" t="s">
        <v>264</v>
      </c>
    </row>
    <row r="1571" spans="2:10">
      <c r="B1571" s="25" t="str">
        <f ca="1">IFERROR(__xludf.DUMMYFUNCTION("""COMPUTED_VALUE"""),"MUNICIPALIDAD DISTRITAL")</f>
        <v>MUNICIPALIDAD DISTRITAL</v>
      </c>
      <c r="C1571" s="25" t="str">
        <f ca="1">IFERROR(__xludf.DUMMYFUNCTION("""COMPUTED_VALUE"""),"MUNICIPALIDAD DISTRITAL DE PUQUINA")</f>
        <v>MUNICIPALIDAD DISTRITAL DE PUQUINA</v>
      </c>
      <c r="D1571" s="25" t="str">
        <f ca="1">IFERROR(__xludf.DUMMYFUNCTION("""COMPUTED_VALUE"""),"AREQUIPA")</f>
        <v>AREQUIPA</v>
      </c>
      <c r="E1571" s="25" t="str">
        <f ca="1">IFERROR(__xludf.DUMMYFUNCTION("""COMPUTED_VALUE"""),"MOQUEGUA")</f>
        <v>MOQUEGUA</v>
      </c>
      <c r="F1571" s="25" t="str">
        <f ca="1">IFERROR(__xludf.DUMMYFUNCTION("""COMPUTED_VALUE"""),"GENERAL SANCHEZ CERRO")</f>
        <v>GENERAL SANCHEZ CERRO</v>
      </c>
      <c r="G1571" s="25" t="str">
        <f ca="1">IFERROR(__xludf.DUMMYFUNCTION("""COMPUTED_VALUE"""),"PUQUINA")</f>
        <v>PUQUINA</v>
      </c>
      <c r="H1571" s="25" t="str">
        <f ca="1">IFERROR(__xludf.DUMMYFUNCTION("""COMPUTED_VALUE"""),"RURAL")</f>
        <v>RURAL</v>
      </c>
      <c r="I1571" s="25" t="str">
        <f ca="1">IFERROR(__xludf.DUMMYFUNCTION("""COMPUTED_VALUE"""),"Prioridad 2")</f>
        <v>Prioridad 2</v>
      </c>
      <c r="J1571" s="43" t="s">
        <v>264</v>
      </c>
    </row>
    <row r="1572" spans="2:10">
      <c r="B1572" s="25" t="str">
        <f ca="1">IFERROR(__xludf.DUMMYFUNCTION("""COMPUTED_VALUE"""),"MUNICIPALIDAD DISTRITAL")</f>
        <v>MUNICIPALIDAD DISTRITAL</v>
      </c>
      <c r="C1572" s="25" t="str">
        <f ca="1">IFERROR(__xludf.DUMMYFUNCTION("""COMPUTED_VALUE"""),"MUNICIPALIDAD DISTRITAL DE QUINISTAQUILLAS")</f>
        <v>MUNICIPALIDAD DISTRITAL DE QUINISTAQUILLAS</v>
      </c>
      <c r="D1572" s="25" t="str">
        <f ca="1">IFERROR(__xludf.DUMMYFUNCTION("""COMPUTED_VALUE"""),"AREQUIPA")</f>
        <v>AREQUIPA</v>
      </c>
      <c r="E1572" s="25" t="str">
        <f ca="1">IFERROR(__xludf.DUMMYFUNCTION("""COMPUTED_VALUE"""),"MOQUEGUA")</f>
        <v>MOQUEGUA</v>
      </c>
      <c r="F1572" s="25" t="str">
        <f ca="1">IFERROR(__xludf.DUMMYFUNCTION("""COMPUTED_VALUE"""),"GENERAL SANCHEZ CERRO")</f>
        <v>GENERAL SANCHEZ CERRO</v>
      </c>
      <c r="G1572" s="25" t="str">
        <f ca="1">IFERROR(__xludf.DUMMYFUNCTION("""COMPUTED_VALUE"""),"QUINISTAQUILLAS")</f>
        <v>QUINISTAQUILLAS</v>
      </c>
      <c r="H1572" s="25" t="str">
        <f ca="1">IFERROR(__xludf.DUMMYFUNCTION("""COMPUTED_VALUE"""),"RURAL")</f>
        <v>RURAL</v>
      </c>
      <c r="I1572" s="25" t="str">
        <f ca="1">IFERROR(__xludf.DUMMYFUNCTION("""COMPUTED_VALUE"""),"Prioridad 4")</f>
        <v>Prioridad 4</v>
      </c>
      <c r="J1572" s="43" t="s">
        <v>264</v>
      </c>
    </row>
    <row r="1573" spans="2:10">
      <c r="B1573" s="25" t="str">
        <f ca="1">IFERROR(__xludf.DUMMYFUNCTION("""COMPUTED_VALUE"""),"MUNICIPALIDAD DISTRITAL")</f>
        <v>MUNICIPALIDAD DISTRITAL</v>
      </c>
      <c r="C1573" s="25" t="str">
        <f ca="1">IFERROR(__xludf.DUMMYFUNCTION("""COMPUTED_VALUE"""),"MUNICIPALIDAD DISTRITAL DE UBINAS")</f>
        <v>MUNICIPALIDAD DISTRITAL DE UBINAS</v>
      </c>
      <c r="D1573" s="25" t="str">
        <f ca="1">IFERROR(__xludf.DUMMYFUNCTION("""COMPUTED_VALUE"""),"AREQUIPA")</f>
        <v>AREQUIPA</v>
      </c>
      <c r="E1573" s="25" t="str">
        <f ca="1">IFERROR(__xludf.DUMMYFUNCTION("""COMPUTED_VALUE"""),"MOQUEGUA")</f>
        <v>MOQUEGUA</v>
      </c>
      <c r="F1573" s="25" t="str">
        <f ca="1">IFERROR(__xludf.DUMMYFUNCTION("""COMPUTED_VALUE"""),"GENERAL SANCHEZ CERRO")</f>
        <v>GENERAL SANCHEZ CERRO</v>
      </c>
      <c r="G1573" s="25" t="str">
        <f ca="1">IFERROR(__xludf.DUMMYFUNCTION("""COMPUTED_VALUE"""),"UBINAS")</f>
        <v>UBINAS</v>
      </c>
      <c r="H1573" s="25" t="str">
        <f ca="1">IFERROR(__xludf.DUMMYFUNCTION("""COMPUTED_VALUE"""),"RURAL")</f>
        <v>RURAL</v>
      </c>
      <c r="I1573" s="25" t="str">
        <f ca="1">IFERROR(__xludf.DUMMYFUNCTION("""COMPUTED_VALUE"""),"Prioridad 4")</f>
        <v>Prioridad 4</v>
      </c>
      <c r="J1573" s="43" t="s">
        <v>264</v>
      </c>
    </row>
    <row r="1574" spans="2:10">
      <c r="B1574" s="25" t="str">
        <f ca="1">IFERROR(__xludf.DUMMYFUNCTION("""COMPUTED_VALUE"""),"MUNICIPALIDAD DISTRITAL")</f>
        <v>MUNICIPALIDAD DISTRITAL</v>
      </c>
      <c r="C1574" s="25" t="str">
        <f ca="1">IFERROR(__xludf.DUMMYFUNCTION("""COMPUTED_VALUE"""),"MUNICIPALIDAD DISTRITAL DE YUNGA")</f>
        <v>MUNICIPALIDAD DISTRITAL DE YUNGA</v>
      </c>
      <c r="D1574" s="25" t="str">
        <f ca="1">IFERROR(__xludf.DUMMYFUNCTION("""COMPUTED_VALUE"""),"AREQUIPA")</f>
        <v>AREQUIPA</v>
      </c>
      <c r="E1574" s="25" t="str">
        <f ca="1">IFERROR(__xludf.DUMMYFUNCTION("""COMPUTED_VALUE"""),"MOQUEGUA")</f>
        <v>MOQUEGUA</v>
      </c>
      <c r="F1574" s="25" t="str">
        <f ca="1">IFERROR(__xludf.DUMMYFUNCTION("""COMPUTED_VALUE"""),"GENERAL SANCHEZ CERRO")</f>
        <v>GENERAL SANCHEZ CERRO</v>
      </c>
      <c r="G1574" s="25" t="str">
        <f ca="1">IFERROR(__xludf.DUMMYFUNCTION("""COMPUTED_VALUE"""),"YUNGA")</f>
        <v>YUNGA</v>
      </c>
      <c r="H1574" s="25" t="str">
        <f ca="1">IFERROR(__xludf.DUMMYFUNCTION("""COMPUTED_VALUE"""),"RURAL")</f>
        <v>RURAL</v>
      </c>
      <c r="I1574" s="25" t="str">
        <f ca="1">IFERROR(__xludf.DUMMYFUNCTION("""COMPUTED_VALUE"""),"Prioridad 5")</f>
        <v>Prioridad 5</v>
      </c>
      <c r="J1574" s="43" t="s">
        <v>264</v>
      </c>
    </row>
    <row r="1575" spans="2:10">
      <c r="B1575" s="25" t="str">
        <f ca="1">IFERROR(__xludf.DUMMYFUNCTION("""COMPUTED_VALUE"""),"MUNICIPALIDAD PROVINCIAL")</f>
        <v>MUNICIPALIDAD PROVINCIAL</v>
      </c>
      <c r="C1575" s="25" t="str">
        <f ca="1">IFERROR(__xludf.DUMMYFUNCTION("""COMPUTED_VALUE"""),"MUNICIPALIDAD PROVINCIAL DE ILO")</f>
        <v>MUNICIPALIDAD PROVINCIAL DE ILO</v>
      </c>
      <c r="D1575" s="25" t="str">
        <f ca="1">IFERROR(__xludf.DUMMYFUNCTION("""COMPUTED_VALUE"""),"TACNA")</f>
        <v>TACNA</v>
      </c>
      <c r="E1575" s="25" t="str">
        <f ca="1">IFERROR(__xludf.DUMMYFUNCTION("""COMPUTED_VALUE"""),"MOQUEGUA")</f>
        <v>MOQUEGUA</v>
      </c>
      <c r="F1575" s="25" t="str">
        <f ca="1">IFERROR(__xludf.DUMMYFUNCTION("""COMPUTED_VALUE"""),"ILO")</f>
        <v>ILO</v>
      </c>
      <c r="G1575" s="25" t="str">
        <f ca="1">IFERROR(__xludf.DUMMYFUNCTION("""COMPUTED_VALUE"""),"ILO")</f>
        <v>ILO</v>
      </c>
      <c r="H1575" s="25" t="str">
        <f ca="1">IFERROR(__xludf.DUMMYFUNCTION("""COMPUTED_VALUE"""),"URBANO")</f>
        <v>URBANO</v>
      </c>
      <c r="I1575" s="25" t="str">
        <f ca="1">IFERROR(__xludf.DUMMYFUNCTION("""COMPUTED_VALUE"""),"Prioridad 1")</f>
        <v>Prioridad 1</v>
      </c>
      <c r="J1575" s="43" t="s">
        <v>264</v>
      </c>
    </row>
    <row r="1576" spans="2:10">
      <c r="B1576" s="25" t="str">
        <f ca="1">IFERROR(__xludf.DUMMYFUNCTION("""COMPUTED_VALUE"""),"MUNICIPALIDAD DISTRITAL")</f>
        <v>MUNICIPALIDAD DISTRITAL</v>
      </c>
      <c r="C1576" s="25" t="str">
        <f ca="1">IFERROR(__xludf.DUMMYFUNCTION("""COMPUTED_VALUE"""),"MUNICIPALIDAD DISTRITAL DE EL ALGARROBAL")</f>
        <v>MUNICIPALIDAD DISTRITAL DE EL ALGARROBAL</v>
      </c>
      <c r="D1576" s="25" t="str">
        <f ca="1">IFERROR(__xludf.DUMMYFUNCTION("""COMPUTED_VALUE"""),"TACNA")</f>
        <v>TACNA</v>
      </c>
      <c r="E1576" s="25" t="str">
        <f ca="1">IFERROR(__xludf.DUMMYFUNCTION("""COMPUTED_VALUE"""),"MOQUEGUA")</f>
        <v>MOQUEGUA</v>
      </c>
      <c r="F1576" s="25" t="str">
        <f ca="1">IFERROR(__xludf.DUMMYFUNCTION("""COMPUTED_VALUE"""),"ILO")</f>
        <v>ILO</v>
      </c>
      <c r="G1576" s="25" t="str">
        <f ca="1">IFERROR(__xludf.DUMMYFUNCTION("""COMPUTED_VALUE"""),"EL ALGARROBAL")</f>
        <v>EL ALGARROBAL</v>
      </c>
      <c r="H1576" s="25" t="str">
        <f ca="1">IFERROR(__xludf.DUMMYFUNCTION("""COMPUTED_VALUE"""),"URBANO")</f>
        <v>URBANO</v>
      </c>
      <c r="I1576" s="25" t="str">
        <f ca="1">IFERROR(__xludf.DUMMYFUNCTION("""COMPUTED_VALUE"""),"Prioridad 1")</f>
        <v>Prioridad 1</v>
      </c>
      <c r="J1576" s="43" t="s">
        <v>264</v>
      </c>
    </row>
    <row r="1577" spans="2:10">
      <c r="B1577" s="25" t="str">
        <f ca="1">IFERROR(__xludf.DUMMYFUNCTION("""COMPUTED_VALUE"""),"MUNICIPALIDAD DISTRITAL")</f>
        <v>MUNICIPALIDAD DISTRITAL</v>
      </c>
      <c r="C1577" s="25" t="str">
        <f ca="1">IFERROR(__xludf.DUMMYFUNCTION("""COMPUTED_VALUE"""),"MUNICIPALIDAD DISTRITAL DE PACOCHA")</f>
        <v>MUNICIPALIDAD DISTRITAL DE PACOCHA</v>
      </c>
      <c r="D1577" s="25" t="str">
        <f ca="1">IFERROR(__xludf.DUMMYFUNCTION("""COMPUTED_VALUE"""),"TACNA")</f>
        <v>TACNA</v>
      </c>
      <c r="E1577" s="25" t="str">
        <f ca="1">IFERROR(__xludf.DUMMYFUNCTION("""COMPUTED_VALUE"""),"MOQUEGUA")</f>
        <v>MOQUEGUA</v>
      </c>
      <c r="F1577" s="25" t="str">
        <f ca="1">IFERROR(__xludf.DUMMYFUNCTION("""COMPUTED_VALUE"""),"ILO")</f>
        <v>ILO</v>
      </c>
      <c r="G1577" s="25" t="str">
        <f ca="1">IFERROR(__xludf.DUMMYFUNCTION("""COMPUTED_VALUE"""),"PACOCHA")</f>
        <v>PACOCHA</v>
      </c>
      <c r="H1577" s="25" t="str">
        <f ca="1">IFERROR(__xludf.DUMMYFUNCTION("""COMPUTED_VALUE"""),"URBANO")</f>
        <v>URBANO</v>
      </c>
      <c r="I1577" s="25" t="str">
        <f ca="1">IFERROR(__xludf.DUMMYFUNCTION("""COMPUTED_VALUE"""),"Prioridad 1")</f>
        <v>Prioridad 1</v>
      </c>
      <c r="J1577" s="43" t="s">
        <v>264</v>
      </c>
    </row>
    <row r="1578" spans="2:10">
      <c r="B1578" s="25" t="str">
        <f ca="1">IFERROR(__xludf.DUMMYFUNCTION("""COMPUTED_VALUE"""),"MUNICIPALIDAD PROVINCIAL")</f>
        <v>MUNICIPALIDAD PROVINCIAL</v>
      </c>
      <c r="C1578" s="25" t="str">
        <f ca="1">IFERROR(__xludf.DUMMYFUNCTION("""COMPUTED_VALUE"""),"MUNICIPALIDAD PROVINCIAL DE MARISCAL NIETO")</f>
        <v>MUNICIPALIDAD PROVINCIAL DE MARISCAL NIETO</v>
      </c>
      <c r="D1578" s="25" t="str">
        <f ca="1">IFERROR(__xludf.DUMMYFUNCTION("""COMPUTED_VALUE"""),"TACNA")</f>
        <v>TACNA</v>
      </c>
      <c r="E1578" s="25" t="str">
        <f ca="1">IFERROR(__xludf.DUMMYFUNCTION("""COMPUTED_VALUE"""),"MOQUEGUA")</f>
        <v>MOQUEGUA</v>
      </c>
      <c r="F1578" s="25" t="str">
        <f ca="1">IFERROR(__xludf.DUMMYFUNCTION("""COMPUTED_VALUE"""),"MARISCAL NIETO")</f>
        <v>MARISCAL NIETO</v>
      </c>
      <c r="G1578" s="25" t="str">
        <f ca="1">IFERROR(__xludf.DUMMYFUNCTION("""COMPUTED_VALUE"""),"MOQUEGUA")</f>
        <v>MOQUEGUA</v>
      </c>
      <c r="H1578" s="25" t="str">
        <f ca="1">IFERROR(__xludf.DUMMYFUNCTION("""COMPUTED_VALUE"""),"URBANO")</f>
        <v>URBANO</v>
      </c>
      <c r="I1578" s="25" t="str">
        <f ca="1">IFERROR(__xludf.DUMMYFUNCTION("""COMPUTED_VALUE"""),"Prioridad 1")</f>
        <v>Prioridad 1</v>
      </c>
      <c r="J1578" s="43" t="s">
        <v>264</v>
      </c>
    </row>
    <row r="1579" spans="2:10">
      <c r="B1579" s="25" t="str">
        <f ca="1">IFERROR(__xludf.DUMMYFUNCTION("""COMPUTED_VALUE"""),"MUNICIPALIDAD DISTRITAL")</f>
        <v>MUNICIPALIDAD DISTRITAL</v>
      </c>
      <c r="C1579" s="25" t="str">
        <f ca="1">IFERROR(__xludf.DUMMYFUNCTION("""COMPUTED_VALUE"""),"MUNICIPALIDAD DISTRITAL DE CARUMAS")</f>
        <v>MUNICIPALIDAD DISTRITAL DE CARUMAS</v>
      </c>
      <c r="D1579" s="25" t="str">
        <f ca="1">IFERROR(__xludf.DUMMYFUNCTION("""COMPUTED_VALUE"""),"TACNA")</f>
        <v>TACNA</v>
      </c>
      <c r="E1579" s="25" t="str">
        <f ca="1">IFERROR(__xludf.DUMMYFUNCTION("""COMPUTED_VALUE"""),"MOQUEGUA")</f>
        <v>MOQUEGUA</v>
      </c>
      <c r="F1579" s="25" t="str">
        <f ca="1">IFERROR(__xludf.DUMMYFUNCTION("""COMPUTED_VALUE"""),"MARISCAL NIETO")</f>
        <v>MARISCAL NIETO</v>
      </c>
      <c r="G1579" s="25" t="str">
        <f ca="1">IFERROR(__xludf.DUMMYFUNCTION("""COMPUTED_VALUE"""),"CARUMAS")</f>
        <v>CARUMAS</v>
      </c>
      <c r="H1579" s="25" t="str">
        <f ca="1">IFERROR(__xludf.DUMMYFUNCTION("""COMPUTED_VALUE"""),"RURAL")</f>
        <v>RURAL</v>
      </c>
      <c r="I1579" s="25" t="str">
        <f ca="1">IFERROR(__xludf.DUMMYFUNCTION("""COMPUTED_VALUE"""),"Prioridad 4")</f>
        <v>Prioridad 4</v>
      </c>
      <c r="J1579" s="43" t="s">
        <v>264</v>
      </c>
    </row>
    <row r="1580" spans="2:10">
      <c r="B1580" s="25" t="str">
        <f ca="1">IFERROR(__xludf.DUMMYFUNCTION("""COMPUTED_VALUE"""),"MUNICIPALIDAD DISTRITAL")</f>
        <v>MUNICIPALIDAD DISTRITAL</v>
      </c>
      <c r="C1580" s="25" t="str">
        <f ca="1">IFERROR(__xludf.DUMMYFUNCTION("""COMPUTED_VALUE"""),"MUNICIPALIDAD DISTRITAL DE CUCHUMBAYA")</f>
        <v>MUNICIPALIDAD DISTRITAL DE CUCHUMBAYA</v>
      </c>
      <c r="D1580" s="25" t="str">
        <f ca="1">IFERROR(__xludf.DUMMYFUNCTION("""COMPUTED_VALUE"""),"TACNA")</f>
        <v>TACNA</v>
      </c>
      <c r="E1580" s="25" t="str">
        <f ca="1">IFERROR(__xludf.DUMMYFUNCTION("""COMPUTED_VALUE"""),"MOQUEGUA")</f>
        <v>MOQUEGUA</v>
      </c>
      <c r="F1580" s="25" t="str">
        <f ca="1">IFERROR(__xludf.DUMMYFUNCTION("""COMPUTED_VALUE"""),"MARISCAL NIETO")</f>
        <v>MARISCAL NIETO</v>
      </c>
      <c r="G1580" s="25" t="str">
        <f ca="1">IFERROR(__xludf.DUMMYFUNCTION("""COMPUTED_VALUE"""),"CUCHUMBAYA")</f>
        <v>CUCHUMBAYA</v>
      </c>
      <c r="H1580" s="25" t="str">
        <f ca="1">IFERROR(__xludf.DUMMYFUNCTION("""COMPUTED_VALUE"""),"RURAL")</f>
        <v>RURAL</v>
      </c>
      <c r="I1580" s="25" t="str">
        <f ca="1">IFERROR(__xludf.DUMMYFUNCTION("""COMPUTED_VALUE"""),"Prioridad 4")</f>
        <v>Prioridad 4</v>
      </c>
      <c r="J1580" s="43" t="s">
        <v>264</v>
      </c>
    </row>
    <row r="1581" spans="2:10">
      <c r="B1581" s="25" t="str">
        <f ca="1">IFERROR(__xludf.DUMMYFUNCTION("""COMPUTED_VALUE"""),"MUNICIPALIDAD DISTRITAL")</f>
        <v>MUNICIPALIDAD DISTRITAL</v>
      </c>
      <c r="C1581" s="25" t="str">
        <f ca="1">IFERROR(__xludf.DUMMYFUNCTION("""COMPUTED_VALUE"""),"MUNICIPALIDAD DISTRITAL DE SAMEGUA")</f>
        <v>MUNICIPALIDAD DISTRITAL DE SAMEGUA</v>
      </c>
      <c r="D1581" s="25" t="str">
        <f ca="1">IFERROR(__xludf.DUMMYFUNCTION("""COMPUTED_VALUE"""),"TACNA")</f>
        <v>TACNA</v>
      </c>
      <c r="E1581" s="25" t="str">
        <f ca="1">IFERROR(__xludf.DUMMYFUNCTION("""COMPUTED_VALUE"""),"MOQUEGUA")</f>
        <v>MOQUEGUA</v>
      </c>
      <c r="F1581" s="25" t="str">
        <f ca="1">IFERROR(__xludf.DUMMYFUNCTION("""COMPUTED_VALUE"""),"MARISCAL NIETO")</f>
        <v>MARISCAL NIETO</v>
      </c>
      <c r="G1581" s="25" t="str">
        <f ca="1">IFERROR(__xludf.DUMMYFUNCTION("""COMPUTED_VALUE"""),"SAMEGUA")</f>
        <v>SAMEGUA</v>
      </c>
      <c r="H1581" s="25" t="str">
        <f ca="1">IFERROR(__xludf.DUMMYFUNCTION("""COMPUTED_VALUE"""),"URBANO")</f>
        <v>URBANO</v>
      </c>
      <c r="I1581" s="25" t="str">
        <f ca="1">IFERROR(__xludf.DUMMYFUNCTION("""COMPUTED_VALUE"""),"Prioridad 1")</f>
        <v>Prioridad 1</v>
      </c>
      <c r="J1581" s="43" t="s">
        <v>264</v>
      </c>
    </row>
    <row r="1582" spans="2:10">
      <c r="B1582" s="25" t="str">
        <f ca="1">IFERROR(__xludf.DUMMYFUNCTION("""COMPUTED_VALUE"""),"MUNICIPALIDAD DISTRITAL")</f>
        <v>MUNICIPALIDAD DISTRITAL</v>
      </c>
      <c r="C1582" s="25" t="str">
        <f ca="1">IFERROR(__xludf.DUMMYFUNCTION("""COMPUTED_VALUE"""),"MUNICIPALIDAD DISTRITAL DE SAN CRISTOBAL EN MARISCAL NIETO")</f>
        <v>MUNICIPALIDAD DISTRITAL DE SAN CRISTOBAL EN MARISCAL NIETO</v>
      </c>
      <c r="D1582" s="25" t="str">
        <f ca="1">IFERROR(__xludf.DUMMYFUNCTION("""COMPUTED_VALUE"""),"TACNA")</f>
        <v>TACNA</v>
      </c>
      <c r="E1582" s="25" t="str">
        <f ca="1">IFERROR(__xludf.DUMMYFUNCTION("""COMPUTED_VALUE"""),"MOQUEGUA")</f>
        <v>MOQUEGUA</v>
      </c>
      <c r="F1582" s="25" t="str">
        <f ca="1">IFERROR(__xludf.DUMMYFUNCTION("""COMPUTED_VALUE"""),"MARISCAL NIETO")</f>
        <v>MARISCAL NIETO</v>
      </c>
      <c r="G1582" s="25" t="str">
        <f ca="1">IFERROR(__xludf.DUMMYFUNCTION("""COMPUTED_VALUE"""),"SAN CRISTOBAL")</f>
        <v>SAN CRISTOBAL</v>
      </c>
      <c r="H1582" s="25" t="str">
        <f ca="1">IFERROR(__xludf.DUMMYFUNCTION("""COMPUTED_VALUE"""),"RURAL")</f>
        <v>RURAL</v>
      </c>
      <c r="I1582" s="25" t="str">
        <f ca="1">IFERROR(__xludf.DUMMYFUNCTION("""COMPUTED_VALUE"""),"Prioridad 3")</f>
        <v>Prioridad 3</v>
      </c>
      <c r="J1582" s="43" t="s">
        <v>264</v>
      </c>
    </row>
    <row r="1583" spans="2:10">
      <c r="B1583" s="25" t="str">
        <f ca="1">IFERROR(__xludf.DUMMYFUNCTION("""COMPUTED_VALUE"""),"MUNICIPALIDAD DISTRITAL")</f>
        <v>MUNICIPALIDAD DISTRITAL</v>
      </c>
      <c r="C1583" s="25" t="str">
        <f ca="1">IFERROR(__xludf.DUMMYFUNCTION("""COMPUTED_VALUE"""),"MUNICIPALIDAD DISTRITAL DE TORATA")</f>
        <v>MUNICIPALIDAD DISTRITAL DE TORATA</v>
      </c>
      <c r="D1583" s="25" t="str">
        <f ca="1">IFERROR(__xludf.DUMMYFUNCTION("""COMPUTED_VALUE"""),"TACNA")</f>
        <v>TACNA</v>
      </c>
      <c r="E1583" s="25" t="str">
        <f ca="1">IFERROR(__xludf.DUMMYFUNCTION("""COMPUTED_VALUE"""),"MOQUEGUA")</f>
        <v>MOQUEGUA</v>
      </c>
      <c r="F1583" s="25" t="str">
        <f ca="1">IFERROR(__xludf.DUMMYFUNCTION("""COMPUTED_VALUE"""),"MARISCAL NIETO")</f>
        <v>MARISCAL NIETO</v>
      </c>
      <c r="G1583" s="25" t="str">
        <f ca="1">IFERROR(__xludf.DUMMYFUNCTION("""COMPUTED_VALUE"""),"TORATA")</f>
        <v>TORATA</v>
      </c>
      <c r="H1583" s="25" t="str">
        <f ca="1">IFERROR(__xludf.DUMMYFUNCTION("""COMPUTED_VALUE"""),"URBANO")</f>
        <v>URBANO</v>
      </c>
      <c r="I1583" s="25" t="str">
        <f ca="1">IFERROR(__xludf.DUMMYFUNCTION("""COMPUTED_VALUE"""),"Prioridad 3")</f>
        <v>Prioridad 3</v>
      </c>
      <c r="J1583" s="43" t="s">
        <v>264</v>
      </c>
    </row>
    <row r="1584" spans="2:10">
      <c r="B1584" s="25" t="str">
        <f ca="1">IFERROR(__xludf.DUMMYFUNCTION("""COMPUTED_VALUE"""),"GOBIERNO REGIONAL")</f>
        <v>GOBIERNO REGIONAL</v>
      </c>
      <c r="C1584" s="25" t="str">
        <f ca="1">IFERROR(__xludf.DUMMYFUNCTION("""COMPUTED_VALUE"""),"GOBIERNO REGIONAL DE MOQUEGUA")</f>
        <v>GOBIERNO REGIONAL DE MOQUEGUA</v>
      </c>
      <c r="D1584" s="25" t="str">
        <f ca="1">IFERROR(__xludf.DUMMYFUNCTION("""COMPUTED_VALUE"""),"TACNA")</f>
        <v>TACNA</v>
      </c>
      <c r="E1584" s="25" t="str">
        <f ca="1">IFERROR(__xludf.DUMMYFUNCTION("""COMPUTED_VALUE"""),"MOQUEGUA")</f>
        <v>MOQUEGUA</v>
      </c>
      <c r="F1584" s="25" t="str">
        <f ca="1">IFERROR(__xludf.DUMMYFUNCTION("""COMPUTED_VALUE"""),"MARISCAL NIETO")</f>
        <v>MARISCAL NIETO</v>
      </c>
      <c r="G1584" s="25" t="str">
        <f ca="1">IFERROR(__xludf.DUMMYFUNCTION("""COMPUTED_VALUE"""),"MOQUEGUA")</f>
        <v>MOQUEGUA</v>
      </c>
      <c r="H1584" s="25"/>
      <c r="I1584" s="25" t="str">
        <f ca="1">IFERROR(__xludf.DUMMYFUNCTION("""COMPUTED_VALUE"""),"Prioridad 1")</f>
        <v>Prioridad 1</v>
      </c>
      <c r="J1584" s="43" t="s">
        <v>264</v>
      </c>
    </row>
    <row r="1585" spans="2:10">
      <c r="B1585" s="25" t="str">
        <f ca="1">IFERROR(__xludf.DUMMYFUNCTION("""COMPUTED_VALUE"""),"GOBIERNO REGIONAL")</f>
        <v>GOBIERNO REGIONAL</v>
      </c>
      <c r="C1585" s="25" t="str">
        <f ca="1">IFERROR(__xludf.DUMMYFUNCTION("""COMPUTED_VALUE"""),"GOBIERNO REGIONAL DE PASCO")</f>
        <v>GOBIERNO REGIONAL DE PASCO</v>
      </c>
      <c r="D1585" s="25" t="str">
        <f ca="1">IFERROR(__xludf.DUMMYFUNCTION("""COMPUTED_VALUE"""),"JUNÍN")</f>
        <v>JUNÍN</v>
      </c>
      <c r="E1585" s="25" t="str">
        <f ca="1">IFERROR(__xludf.DUMMYFUNCTION("""COMPUTED_VALUE"""),"PASCO")</f>
        <v>PASCO</v>
      </c>
      <c r="F1585" s="25" t="str">
        <f ca="1">IFERROR(__xludf.DUMMYFUNCTION("""COMPUTED_VALUE"""),"PASCO")</f>
        <v>PASCO</v>
      </c>
      <c r="G1585" s="25" t="str">
        <f ca="1">IFERROR(__xludf.DUMMYFUNCTION("""COMPUTED_VALUE"""),"PASCO")</f>
        <v>PASCO</v>
      </c>
      <c r="H1585" s="25"/>
      <c r="I1585" s="25" t="str">
        <f ca="1">IFERROR(__xludf.DUMMYFUNCTION("""COMPUTED_VALUE"""),"Prioridad 1")</f>
        <v>Prioridad 1</v>
      </c>
      <c r="J1585" s="43" t="s">
        <v>261</v>
      </c>
    </row>
    <row r="1586" spans="2:10">
      <c r="B1586" s="25" t="str">
        <f ca="1">IFERROR(__xludf.DUMMYFUNCTION("""COMPUTED_VALUE"""),"MUNICIPALIDAD PROVINCIAL")</f>
        <v>MUNICIPALIDAD PROVINCIAL</v>
      </c>
      <c r="C1586" s="25" t="str">
        <f ca="1">IFERROR(__xludf.DUMMYFUNCTION("""COMPUTED_VALUE"""),"MUNICIPALIDAD PROVINCIAL DE DANIEL ALCIDES CARRION")</f>
        <v>MUNICIPALIDAD PROVINCIAL DE DANIEL ALCIDES CARRION</v>
      </c>
      <c r="D1586" s="25" t="str">
        <f ca="1">IFERROR(__xludf.DUMMYFUNCTION("""COMPUTED_VALUE"""),"JUNÍN")</f>
        <v>JUNÍN</v>
      </c>
      <c r="E1586" s="25" t="str">
        <f ca="1">IFERROR(__xludf.DUMMYFUNCTION("""COMPUTED_VALUE"""),"PASCO")</f>
        <v>PASCO</v>
      </c>
      <c r="F1586" s="25" t="str">
        <f ca="1">IFERROR(__xludf.DUMMYFUNCTION("""COMPUTED_VALUE"""),"DANIEL ALCIDES CARRION")</f>
        <v>DANIEL ALCIDES CARRION</v>
      </c>
      <c r="G1586" s="25" t="str">
        <f ca="1">IFERROR(__xludf.DUMMYFUNCTION("""COMPUTED_VALUE"""),"YANAHUANCA")</f>
        <v>YANAHUANCA</v>
      </c>
      <c r="H1586" s="25" t="str">
        <f ca="1">IFERROR(__xludf.DUMMYFUNCTION("""COMPUTED_VALUE"""),"URBANO")</f>
        <v>URBANO</v>
      </c>
      <c r="I1586" s="25" t="str">
        <f ca="1">IFERROR(__xludf.DUMMYFUNCTION("""COMPUTED_VALUE"""),"Prioridad 2")</f>
        <v>Prioridad 2</v>
      </c>
      <c r="J1586" s="43" t="s">
        <v>261</v>
      </c>
    </row>
    <row r="1587" spans="2:10">
      <c r="B1587" s="25" t="str">
        <f ca="1">IFERROR(__xludf.DUMMYFUNCTION("""COMPUTED_VALUE"""),"MUNICIPALIDAD DISTRITAL")</f>
        <v>MUNICIPALIDAD DISTRITAL</v>
      </c>
      <c r="C1587" s="25" t="str">
        <f ca="1">IFERROR(__xludf.DUMMYFUNCTION("""COMPUTED_VALUE"""),"MUNICIPALIDAD DISTRITAL DE CHACAYAN")</f>
        <v>MUNICIPALIDAD DISTRITAL DE CHACAYAN</v>
      </c>
      <c r="D1587" s="25" t="str">
        <f ca="1">IFERROR(__xludf.DUMMYFUNCTION("""COMPUTED_VALUE"""),"JUNÍN")</f>
        <v>JUNÍN</v>
      </c>
      <c r="E1587" s="25" t="str">
        <f ca="1">IFERROR(__xludf.DUMMYFUNCTION("""COMPUTED_VALUE"""),"PASCO")</f>
        <v>PASCO</v>
      </c>
      <c r="F1587" s="25" t="str">
        <f ca="1">IFERROR(__xludf.DUMMYFUNCTION("""COMPUTED_VALUE"""),"DANIEL ALCIDES CARRION")</f>
        <v>DANIEL ALCIDES CARRION</v>
      </c>
      <c r="G1587" s="25" t="str">
        <f ca="1">IFERROR(__xludf.DUMMYFUNCTION("""COMPUTED_VALUE"""),"CHACAYAN")</f>
        <v>CHACAYAN</v>
      </c>
      <c r="H1587" s="25" t="str">
        <f ca="1">IFERROR(__xludf.DUMMYFUNCTION("""COMPUTED_VALUE"""),"RURAL")</f>
        <v>RURAL</v>
      </c>
      <c r="I1587" s="25" t="str">
        <f ca="1">IFERROR(__xludf.DUMMYFUNCTION("""COMPUTED_VALUE"""),"Prioridad 4")</f>
        <v>Prioridad 4</v>
      </c>
      <c r="J1587" s="43" t="s">
        <v>261</v>
      </c>
    </row>
    <row r="1588" spans="2:10">
      <c r="B1588" s="25" t="str">
        <f ca="1">IFERROR(__xludf.DUMMYFUNCTION("""COMPUTED_VALUE"""),"MUNICIPALIDAD DISTRITAL")</f>
        <v>MUNICIPALIDAD DISTRITAL</v>
      </c>
      <c r="C1588" s="25" t="str">
        <f ca="1">IFERROR(__xludf.DUMMYFUNCTION("""COMPUTED_VALUE"""),"MUNICIPALIDAD DISTRITAL DE GOYLLARISQUIZGA")</f>
        <v>MUNICIPALIDAD DISTRITAL DE GOYLLARISQUIZGA</v>
      </c>
      <c r="D1588" s="25" t="str">
        <f ca="1">IFERROR(__xludf.DUMMYFUNCTION("""COMPUTED_VALUE"""),"JUNÍN")</f>
        <v>JUNÍN</v>
      </c>
      <c r="E1588" s="25" t="str">
        <f ca="1">IFERROR(__xludf.DUMMYFUNCTION("""COMPUTED_VALUE"""),"PASCO")</f>
        <v>PASCO</v>
      </c>
      <c r="F1588" s="25" t="str">
        <f ca="1">IFERROR(__xludf.DUMMYFUNCTION("""COMPUTED_VALUE"""),"DANIEL ALCIDES CARRION")</f>
        <v>DANIEL ALCIDES CARRION</v>
      </c>
      <c r="G1588" s="25" t="str">
        <f ca="1">IFERROR(__xludf.DUMMYFUNCTION("""COMPUTED_VALUE"""),"GOYLLARISQUIZGA")</f>
        <v>GOYLLARISQUIZGA</v>
      </c>
      <c r="H1588" s="25" t="str">
        <f ca="1">IFERROR(__xludf.DUMMYFUNCTION("""COMPUTED_VALUE"""),"RURAL")</f>
        <v>RURAL</v>
      </c>
      <c r="I1588" s="25" t="str">
        <f ca="1">IFERROR(__xludf.DUMMYFUNCTION("""COMPUTED_VALUE"""),"Prioridad 4")</f>
        <v>Prioridad 4</v>
      </c>
      <c r="J1588" s="43" t="s">
        <v>261</v>
      </c>
    </row>
    <row r="1589" spans="2:10">
      <c r="B1589" s="25" t="str">
        <f ca="1">IFERROR(__xludf.DUMMYFUNCTION("""COMPUTED_VALUE"""),"MUNICIPALIDAD DISTRITAL")</f>
        <v>MUNICIPALIDAD DISTRITAL</v>
      </c>
      <c r="C1589" s="25" t="str">
        <f ca="1">IFERROR(__xludf.DUMMYFUNCTION("""COMPUTED_VALUE"""),"MUNICIPALIDAD DISTRITAL DE PAUCAR")</f>
        <v>MUNICIPALIDAD DISTRITAL DE PAUCAR</v>
      </c>
      <c r="D1589" s="25" t="str">
        <f ca="1">IFERROR(__xludf.DUMMYFUNCTION("""COMPUTED_VALUE"""),"JUNÍN")</f>
        <v>JUNÍN</v>
      </c>
      <c r="E1589" s="25" t="str">
        <f ca="1">IFERROR(__xludf.DUMMYFUNCTION("""COMPUTED_VALUE"""),"PASCO")</f>
        <v>PASCO</v>
      </c>
      <c r="F1589" s="25" t="str">
        <f ca="1">IFERROR(__xludf.DUMMYFUNCTION("""COMPUTED_VALUE"""),"DANIEL ALCIDES CARRION")</f>
        <v>DANIEL ALCIDES CARRION</v>
      </c>
      <c r="G1589" s="25" t="str">
        <f ca="1">IFERROR(__xludf.DUMMYFUNCTION("""COMPUTED_VALUE"""),"PAUCAR")</f>
        <v>PAUCAR</v>
      </c>
      <c r="H1589" s="25" t="str">
        <f ca="1">IFERROR(__xludf.DUMMYFUNCTION("""COMPUTED_VALUE"""),"RURAL")</f>
        <v>RURAL</v>
      </c>
      <c r="I1589" s="25" t="str">
        <f ca="1">IFERROR(__xludf.DUMMYFUNCTION("""COMPUTED_VALUE"""),"Prioridad 4")</f>
        <v>Prioridad 4</v>
      </c>
      <c r="J1589" s="43" t="s">
        <v>261</v>
      </c>
    </row>
    <row r="1590" spans="2:10">
      <c r="B1590" s="25" t="str">
        <f ca="1">IFERROR(__xludf.DUMMYFUNCTION("""COMPUTED_VALUE"""),"MUNICIPALIDAD DISTRITAL")</f>
        <v>MUNICIPALIDAD DISTRITAL</v>
      </c>
      <c r="C1590" s="25" t="str">
        <f ca="1">IFERROR(__xludf.DUMMYFUNCTION("""COMPUTED_VALUE"""),"MUNICIPALIDAD DISTRITAL DE SAN PEDRO DE PILLAO")</f>
        <v>MUNICIPALIDAD DISTRITAL DE SAN PEDRO DE PILLAO</v>
      </c>
      <c r="D1590" s="25" t="str">
        <f ca="1">IFERROR(__xludf.DUMMYFUNCTION("""COMPUTED_VALUE"""),"JUNÍN")</f>
        <v>JUNÍN</v>
      </c>
      <c r="E1590" s="25" t="str">
        <f ca="1">IFERROR(__xludf.DUMMYFUNCTION("""COMPUTED_VALUE"""),"PASCO")</f>
        <v>PASCO</v>
      </c>
      <c r="F1590" s="25" t="str">
        <f ca="1">IFERROR(__xludf.DUMMYFUNCTION("""COMPUTED_VALUE"""),"DANIEL ALCIDES CARRION")</f>
        <v>DANIEL ALCIDES CARRION</v>
      </c>
      <c r="G1590" s="25" t="str">
        <f ca="1">IFERROR(__xludf.DUMMYFUNCTION("""COMPUTED_VALUE"""),"SAN PEDRO DE PILLAO")</f>
        <v>SAN PEDRO DE PILLAO</v>
      </c>
      <c r="H1590" s="25" t="str">
        <f ca="1">IFERROR(__xludf.DUMMYFUNCTION("""COMPUTED_VALUE"""),"RURAL")</f>
        <v>RURAL</v>
      </c>
      <c r="I1590" s="25" t="str">
        <f ca="1">IFERROR(__xludf.DUMMYFUNCTION("""COMPUTED_VALUE"""),"Prioridad 4")</f>
        <v>Prioridad 4</v>
      </c>
      <c r="J1590" s="43" t="s">
        <v>261</v>
      </c>
    </row>
    <row r="1591" spans="2:10">
      <c r="B1591" s="25" t="str">
        <f ca="1">IFERROR(__xludf.DUMMYFUNCTION("""COMPUTED_VALUE"""),"MUNICIPALIDAD DISTRITAL")</f>
        <v>MUNICIPALIDAD DISTRITAL</v>
      </c>
      <c r="C1591" s="25" t="str">
        <f ca="1">IFERROR(__xludf.DUMMYFUNCTION("""COMPUTED_VALUE"""),"MUNICIPALIDAD DISTRITAL DE SANTA ANA DE TUSI")</f>
        <v>MUNICIPALIDAD DISTRITAL DE SANTA ANA DE TUSI</v>
      </c>
      <c r="D1591" s="25" t="str">
        <f ca="1">IFERROR(__xludf.DUMMYFUNCTION("""COMPUTED_VALUE"""),"JUNÍN")</f>
        <v>JUNÍN</v>
      </c>
      <c r="E1591" s="25" t="str">
        <f ca="1">IFERROR(__xludf.DUMMYFUNCTION("""COMPUTED_VALUE"""),"PASCO")</f>
        <v>PASCO</v>
      </c>
      <c r="F1591" s="25" t="str">
        <f ca="1">IFERROR(__xludf.DUMMYFUNCTION("""COMPUTED_VALUE"""),"DANIEL ALCIDES CARRION")</f>
        <v>DANIEL ALCIDES CARRION</v>
      </c>
      <c r="G1591" s="25" t="str">
        <f ca="1">IFERROR(__xludf.DUMMYFUNCTION("""COMPUTED_VALUE"""),"SANTA ANA DE TUSI")</f>
        <v>SANTA ANA DE TUSI</v>
      </c>
      <c r="H1591" s="25" t="str">
        <f ca="1">IFERROR(__xludf.DUMMYFUNCTION("""COMPUTED_VALUE"""),"RURAL")</f>
        <v>RURAL</v>
      </c>
      <c r="I1591" s="25" t="str">
        <f ca="1">IFERROR(__xludf.DUMMYFUNCTION("""COMPUTED_VALUE"""),"Prioridad 5")</f>
        <v>Prioridad 5</v>
      </c>
      <c r="J1591" s="43" t="s">
        <v>261</v>
      </c>
    </row>
    <row r="1592" spans="2:10">
      <c r="B1592" s="25" t="str">
        <f ca="1">IFERROR(__xludf.DUMMYFUNCTION("""COMPUTED_VALUE"""),"MUNICIPALIDAD DISTRITAL")</f>
        <v>MUNICIPALIDAD DISTRITAL</v>
      </c>
      <c r="C1592" s="25" t="str">
        <f ca="1">IFERROR(__xludf.DUMMYFUNCTION("""COMPUTED_VALUE"""),"MUNICIPALIDAD DISTRITAL DE TAPUC")</f>
        <v>MUNICIPALIDAD DISTRITAL DE TAPUC</v>
      </c>
      <c r="D1592" s="25" t="str">
        <f ca="1">IFERROR(__xludf.DUMMYFUNCTION("""COMPUTED_VALUE"""),"JUNÍN")</f>
        <v>JUNÍN</v>
      </c>
      <c r="E1592" s="25" t="str">
        <f ca="1">IFERROR(__xludf.DUMMYFUNCTION("""COMPUTED_VALUE"""),"PASCO")</f>
        <v>PASCO</v>
      </c>
      <c r="F1592" s="25" t="str">
        <f ca="1">IFERROR(__xludf.DUMMYFUNCTION("""COMPUTED_VALUE"""),"DANIEL ALCIDES CARRION")</f>
        <v>DANIEL ALCIDES CARRION</v>
      </c>
      <c r="G1592" s="25" t="str">
        <f ca="1">IFERROR(__xludf.DUMMYFUNCTION("""COMPUTED_VALUE"""),"TAPUC")</f>
        <v>TAPUC</v>
      </c>
      <c r="H1592" s="25" t="str">
        <f ca="1">IFERROR(__xludf.DUMMYFUNCTION("""COMPUTED_VALUE"""),"URBANO")</f>
        <v>URBANO</v>
      </c>
      <c r="I1592" s="25" t="str">
        <f ca="1">IFERROR(__xludf.DUMMYFUNCTION("""COMPUTED_VALUE"""),"Prioridad 4")</f>
        <v>Prioridad 4</v>
      </c>
      <c r="J1592" s="43" t="s">
        <v>261</v>
      </c>
    </row>
    <row r="1593" spans="2:10">
      <c r="B1593" s="25" t="str">
        <f ca="1">IFERROR(__xludf.DUMMYFUNCTION("""COMPUTED_VALUE"""),"MUNICIPALIDAD DISTRITAL")</f>
        <v>MUNICIPALIDAD DISTRITAL</v>
      </c>
      <c r="C1593" s="25" t="str">
        <f ca="1">IFERROR(__xludf.DUMMYFUNCTION("""COMPUTED_VALUE"""),"MUNICIPALIDAD DISTRITAL DE VILCABAMBA EN DANIEL ALCIDES CARRION")</f>
        <v>MUNICIPALIDAD DISTRITAL DE VILCABAMBA EN DANIEL ALCIDES CARRION</v>
      </c>
      <c r="D1593" s="25" t="str">
        <f ca="1">IFERROR(__xludf.DUMMYFUNCTION("""COMPUTED_VALUE"""),"JUNÍN")</f>
        <v>JUNÍN</v>
      </c>
      <c r="E1593" s="25" t="str">
        <f ca="1">IFERROR(__xludf.DUMMYFUNCTION("""COMPUTED_VALUE"""),"PASCO")</f>
        <v>PASCO</v>
      </c>
      <c r="F1593" s="25" t="str">
        <f ca="1">IFERROR(__xludf.DUMMYFUNCTION("""COMPUTED_VALUE"""),"DANIEL ALCIDES CARRION")</f>
        <v>DANIEL ALCIDES CARRION</v>
      </c>
      <c r="G1593" s="25" t="str">
        <f ca="1">IFERROR(__xludf.DUMMYFUNCTION("""COMPUTED_VALUE"""),"VILCABAMBA")</f>
        <v>VILCABAMBA</v>
      </c>
      <c r="H1593" s="25" t="str">
        <f ca="1">IFERROR(__xludf.DUMMYFUNCTION("""COMPUTED_VALUE"""),"RURAL")</f>
        <v>RURAL</v>
      </c>
      <c r="I1593" s="25" t="str">
        <f ca="1">IFERROR(__xludf.DUMMYFUNCTION("""COMPUTED_VALUE"""),"Prioridad 4")</f>
        <v>Prioridad 4</v>
      </c>
      <c r="J1593" s="43" t="s">
        <v>261</v>
      </c>
    </row>
    <row r="1594" spans="2:10">
      <c r="B1594" s="25" t="str">
        <f ca="1">IFERROR(__xludf.DUMMYFUNCTION("""COMPUTED_VALUE"""),"MUNICIPALIDAD PROVINCIAL")</f>
        <v>MUNICIPALIDAD PROVINCIAL</v>
      </c>
      <c r="C1594" s="25" t="str">
        <f ca="1">IFERROR(__xludf.DUMMYFUNCTION("""COMPUTED_VALUE"""),"MUNICIPALIDAD PROVINCIAL DE OXAPAMPA")</f>
        <v>MUNICIPALIDAD PROVINCIAL DE OXAPAMPA</v>
      </c>
      <c r="D1594" s="25" t="str">
        <f ca="1">IFERROR(__xludf.DUMMYFUNCTION("""COMPUTED_VALUE"""),"JUNÍN")</f>
        <v>JUNÍN</v>
      </c>
      <c r="E1594" s="25" t="str">
        <f ca="1">IFERROR(__xludf.DUMMYFUNCTION("""COMPUTED_VALUE"""),"PASCO")</f>
        <v>PASCO</v>
      </c>
      <c r="F1594" s="25" t="str">
        <f ca="1">IFERROR(__xludf.DUMMYFUNCTION("""COMPUTED_VALUE"""),"OXAPAMPA")</f>
        <v>OXAPAMPA</v>
      </c>
      <c r="G1594" s="25" t="str">
        <f ca="1">IFERROR(__xludf.DUMMYFUNCTION("""COMPUTED_VALUE"""),"OXAPAMPA")</f>
        <v>OXAPAMPA</v>
      </c>
      <c r="H1594" s="25" t="str">
        <f ca="1">IFERROR(__xludf.DUMMYFUNCTION("""COMPUTED_VALUE"""),"URBANO")</f>
        <v>URBANO</v>
      </c>
      <c r="I1594" s="25" t="str">
        <f ca="1">IFERROR(__xludf.DUMMYFUNCTION("""COMPUTED_VALUE"""),"Prioridad 1")</f>
        <v>Prioridad 1</v>
      </c>
      <c r="J1594" s="43" t="s">
        <v>261</v>
      </c>
    </row>
    <row r="1595" spans="2:10">
      <c r="B1595" s="25" t="str">
        <f ca="1">IFERROR(__xludf.DUMMYFUNCTION("""COMPUTED_VALUE"""),"MUNICIPALIDAD DISTRITAL")</f>
        <v>MUNICIPALIDAD DISTRITAL</v>
      </c>
      <c r="C1595" s="25" t="str">
        <f ca="1">IFERROR(__xludf.DUMMYFUNCTION("""COMPUTED_VALUE"""),"MUNICIPALIDAD DISTRITAL DE CHONTABAMBA")</f>
        <v>MUNICIPALIDAD DISTRITAL DE CHONTABAMBA</v>
      </c>
      <c r="D1595" s="25" t="str">
        <f ca="1">IFERROR(__xludf.DUMMYFUNCTION("""COMPUTED_VALUE"""),"JUNÍN")</f>
        <v>JUNÍN</v>
      </c>
      <c r="E1595" s="25" t="str">
        <f ca="1">IFERROR(__xludf.DUMMYFUNCTION("""COMPUTED_VALUE"""),"PASCO")</f>
        <v>PASCO</v>
      </c>
      <c r="F1595" s="25" t="str">
        <f ca="1">IFERROR(__xludf.DUMMYFUNCTION("""COMPUTED_VALUE"""),"OXAPAMPA")</f>
        <v>OXAPAMPA</v>
      </c>
      <c r="G1595" s="25" t="str">
        <f ca="1">IFERROR(__xludf.DUMMYFUNCTION("""COMPUTED_VALUE"""),"CHONTABAMBA")</f>
        <v>CHONTABAMBA</v>
      </c>
      <c r="H1595" s="25" t="str">
        <f ca="1">IFERROR(__xludf.DUMMYFUNCTION("""COMPUTED_VALUE"""),"RURAL")</f>
        <v>RURAL</v>
      </c>
      <c r="I1595" s="25" t="str">
        <f ca="1">IFERROR(__xludf.DUMMYFUNCTION("""COMPUTED_VALUE"""),"Prioridad 1")</f>
        <v>Prioridad 1</v>
      </c>
      <c r="J1595" s="43" t="s">
        <v>261</v>
      </c>
    </row>
    <row r="1596" spans="2:10">
      <c r="B1596" s="25" t="str">
        <f ca="1">IFERROR(__xludf.DUMMYFUNCTION("""COMPUTED_VALUE"""),"MUNICIPALIDAD DISTRITAL")</f>
        <v>MUNICIPALIDAD DISTRITAL</v>
      </c>
      <c r="C1596" s="25" t="str">
        <f ca="1">IFERROR(__xludf.DUMMYFUNCTION("""COMPUTED_VALUE"""),"MUNICIPALIDAD DISTRITAL DE CONSTITUCION")</f>
        <v>MUNICIPALIDAD DISTRITAL DE CONSTITUCION</v>
      </c>
      <c r="D1596" s="25" t="str">
        <f ca="1">IFERROR(__xludf.DUMMYFUNCTION("""COMPUTED_VALUE"""),"JUNÍN")</f>
        <v>JUNÍN</v>
      </c>
      <c r="E1596" s="25" t="str">
        <f ca="1">IFERROR(__xludf.DUMMYFUNCTION("""COMPUTED_VALUE"""),"PASCO")</f>
        <v>PASCO</v>
      </c>
      <c r="F1596" s="25" t="str">
        <f ca="1">IFERROR(__xludf.DUMMYFUNCTION("""COMPUTED_VALUE"""),"OXAPAMPA")</f>
        <v>OXAPAMPA</v>
      </c>
      <c r="G1596" s="25" t="str">
        <f ca="1">IFERROR(__xludf.DUMMYFUNCTION("""COMPUTED_VALUE"""),"CONSTITUCION")</f>
        <v>CONSTITUCION</v>
      </c>
      <c r="H1596" s="25" t="str">
        <f ca="1">IFERROR(__xludf.DUMMYFUNCTION("""COMPUTED_VALUE"""),"URBANO")</f>
        <v>URBANO</v>
      </c>
      <c r="I1596" s="25" t="str">
        <f ca="1">IFERROR(__xludf.DUMMYFUNCTION("""COMPUTED_VALUE"""),"Prioridad 3")</f>
        <v>Prioridad 3</v>
      </c>
      <c r="J1596" s="43" t="s">
        <v>261</v>
      </c>
    </row>
    <row r="1597" spans="2:10">
      <c r="B1597" s="25" t="str">
        <f ca="1">IFERROR(__xludf.DUMMYFUNCTION("""COMPUTED_VALUE"""),"MUNICIPALIDAD DISTRITAL")</f>
        <v>MUNICIPALIDAD DISTRITAL</v>
      </c>
      <c r="C1597" s="25" t="str">
        <f ca="1">IFERROR(__xludf.DUMMYFUNCTION("""COMPUTED_VALUE"""),"MUNICIPALIDAD DISTRITAL DE HUANCABAMBA")</f>
        <v>MUNICIPALIDAD DISTRITAL DE HUANCABAMBA</v>
      </c>
      <c r="D1597" s="25" t="str">
        <f ca="1">IFERROR(__xludf.DUMMYFUNCTION("""COMPUTED_VALUE"""),"JUNÍN")</f>
        <v>JUNÍN</v>
      </c>
      <c r="E1597" s="25" t="str">
        <f ca="1">IFERROR(__xludf.DUMMYFUNCTION("""COMPUTED_VALUE"""),"PASCO")</f>
        <v>PASCO</v>
      </c>
      <c r="F1597" s="25" t="str">
        <f ca="1">IFERROR(__xludf.DUMMYFUNCTION("""COMPUTED_VALUE"""),"OXAPAMPA")</f>
        <v>OXAPAMPA</v>
      </c>
      <c r="G1597" s="25" t="str">
        <f ca="1">IFERROR(__xludf.DUMMYFUNCTION("""COMPUTED_VALUE"""),"HUANCABAMBA")</f>
        <v>HUANCABAMBA</v>
      </c>
      <c r="H1597" s="25" t="str">
        <f ca="1">IFERROR(__xludf.DUMMYFUNCTION("""COMPUTED_VALUE"""),"RURAL")</f>
        <v>RURAL</v>
      </c>
      <c r="I1597" s="25" t="str">
        <f ca="1">IFERROR(__xludf.DUMMYFUNCTION("""COMPUTED_VALUE"""),"Prioridad 3")</f>
        <v>Prioridad 3</v>
      </c>
      <c r="J1597" s="43" t="s">
        <v>261</v>
      </c>
    </row>
    <row r="1598" spans="2:10">
      <c r="B1598" s="25" t="str">
        <f ca="1">IFERROR(__xludf.DUMMYFUNCTION("""COMPUTED_VALUE"""),"MUNICIPALIDAD DISTRITAL")</f>
        <v>MUNICIPALIDAD DISTRITAL</v>
      </c>
      <c r="C1598" s="25" t="str">
        <f ca="1">IFERROR(__xludf.DUMMYFUNCTION("""COMPUTED_VALUE"""),"MUNICIPALIDAD DISTRITAL DE PALCAZU")</f>
        <v>MUNICIPALIDAD DISTRITAL DE PALCAZU</v>
      </c>
      <c r="D1598" s="25" t="str">
        <f ca="1">IFERROR(__xludf.DUMMYFUNCTION("""COMPUTED_VALUE"""),"JUNÍN")</f>
        <v>JUNÍN</v>
      </c>
      <c r="E1598" s="25" t="str">
        <f ca="1">IFERROR(__xludf.DUMMYFUNCTION("""COMPUTED_VALUE"""),"PASCO")</f>
        <v>PASCO</v>
      </c>
      <c r="F1598" s="25" t="str">
        <f ca="1">IFERROR(__xludf.DUMMYFUNCTION("""COMPUTED_VALUE"""),"OXAPAMPA")</f>
        <v>OXAPAMPA</v>
      </c>
      <c r="G1598" s="25" t="str">
        <f ca="1">IFERROR(__xludf.DUMMYFUNCTION("""COMPUTED_VALUE"""),"PALCAZU")</f>
        <v>PALCAZU</v>
      </c>
      <c r="H1598" s="25" t="str">
        <f ca="1">IFERROR(__xludf.DUMMYFUNCTION("""COMPUTED_VALUE"""),"RURAL")</f>
        <v>RURAL</v>
      </c>
      <c r="I1598" s="25" t="str">
        <f ca="1">IFERROR(__xludf.DUMMYFUNCTION("""COMPUTED_VALUE"""),"Prioridad 3")</f>
        <v>Prioridad 3</v>
      </c>
      <c r="J1598" s="43" t="s">
        <v>261</v>
      </c>
    </row>
    <row r="1599" spans="2:10">
      <c r="B1599" s="25" t="str">
        <f ca="1">IFERROR(__xludf.DUMMYFUNCTION("""COMPUTED_VALUE"""),"MUNICIPALIDAD DISTRITAL")</f>
        <v>MUNICIPALIDAD DISTRITAL</v>
      </c>
      <c r="C1599" s="25" t="str">
        <f ca="1">IFERROR(__xludf.DUMMYFUNCTION("""COMPUTED_VALUE"""),"MUNICIPALIDAD DISTRITAL DE POZUZO")</f>
        <v>MUNICIPALIDAD DISTRITAL DE POZUZO</v>
      </c>
      <c r="D1599" s="25" t="str">
        <f ca="1">IFERROR(__xludf.DUMMYFUNCTION("""COMPUTED_VALUE"""),"JUNÍN")</f>
        <v>JUNÍN</v>
      </c>
      <c r="E1599" s="25" t="str">
        <f ca="1">IFERROR(__xludf.DUMMYFUNCTION("""COMPUTED_VALUE"""),"PASCO")</f>
        <v>PASCO</v>
      </c>
      <c r="F1599" s="25" t="str">
        <f ca="1">IFERROR(__xludf.DUMMYFUNCTION("""COMPUTED_VALUE"""),"OXAPAMPA")</f>
        <v>OXAPAMPA</v>
      </c>
      <c r="G1599" s="25" t="str">
        <f ca="1">IFERROR(__xludf.DUMMYFUNCTION("""COMPUTED_VALUE"""),"POZUZO")</f>
        <v>POZUZO</v>
      </c>
      <c r="H1599" s="25" t="str">
        <f ca="1">IFERROR(__xludf.DUMMYFUNCTION("""COMPUTED_VALUE"""),"RURAL")</f>
        <v>RURAL</v>
      </c>
      <c r="I1599" s="25" t="str">
        <f ca="1">IFERROR(__xludf.DUMMYFUNCTION("""COMPUTED_VALUE"""),"Prioridad 2")</f>
        <v>Prioridad 2</v>
      </c>
      <c r="J1599" s="43" t="s">
        <v>261</v>
      </c>
    </row>
    <row r="1600" spans="2:10">
      <c r="B1600" s="25" t="str">
        <f ca="1">IFERROR(__xludf.DUMMYFUNCTION("""COMPUTED_VALUE"""),"MUNICIPALIDAD DISTRITAL")</f>
        <v>MUNICIPALIDAD DISTRITAL</v>
      </c>
      <c r="C1600" s="25" t="str">
        <f ca="1">IFERROR(__xludf.DUMMYFUNCTION("""COMPUTED_VALUE"""),"MUNICIPALIDAD DISTRITAL DE PUERTO BERMUDEZ")</f>
        <v>MUNICIPALIDAD DISTRITAL DE PUERTO BERMUDEZ</v>
      </c>
      <c r="D1600" s="25" t="str">
        <f ca="1">IFERROR(__xludf.DUMMYFUNCTION("""COMPUTED_VALUE"""),"JUNÍN")</f>
        <v>JUNÍN</v>
      </c>
      <c r="E1600" s="25" t="str">
        <f ca="1">IFERROR(__xludf.DUMMYFUNCTION("""COMPUTED_VALUE"""),"PASCO")</f>
        <v>PASCO</v>
      </c>
      <c r="F1600" s="25" t="str">
        <f ca="1">IFERROR(__xludf.DUMMYFUNCTION("""COMPUTED_VALUE"""),"OXAPAMPA")</f>
        <v>OXAPAMPA</v>
      </c>
      <c r="G1600" s="25" t="str">
        <f ca="1">IFERROR(__xludf.DUMMYFUNCTION("""COMPUTED_VALUE"""),"PUERTO BERMUDEZ")</f>
        <v>PUERTO BERMUDEZ</v>
      </c>
      <c r="H1600" s="25" t="str">
        <f ca="1">IFERROR(__xludf.DUMMYFUNCTION("""COMPUTED_VALUE"""),"RURAL")</f>
        <v>RURAL</v>
      </c>
      <c r="I1600" s="25" t="str">
        <f ca="1">IFERROR(__xludf.DUMMYFUNCTION("""COMPUTED_VALUE"""),"Prioridad 2")</f>
        <v>Prioridad 2</v>
      </c>
      <c r="J1600" s="43" t="s">
        <v>261</v>
      </c>
    </row>
    <row r="1601" spans="2:10">
      <c r="B1601" s="25" t="str">
        <f ca="1">IFERROR(__xludf.DUMMYFUNCTION("""COMPUTED_VALUE"""),"MUNICIPALIDAD DISTRITAL")</f>
        <v>MUNICIPALIDAD DISTRITAL</v>
      </c>
      <c r="C1601" s="25" t="str">
        <f ca="1">IFERROR(__xludf.DUMMYFUNCTION("""COMPUTED_VALUE"""),"MUNICIPALIDAD DISTRITAL DE VILLA RICA")</f>
        <v>MUNICIPALIDAD DISTRITAL DE VILLA RICA</v>
      </c>
      <c r="D1601" s="25" t="str">
        <f ca="1">IFERROR(__xludf.DUMMYFUNCTION("""COMPUTED_VALUE"""),"JUNÍN")</f>
        <v>JUNÍN</v>
      </c>
      <c r="E1601" s="25" t="str">
        <f ca="1">IFERROR(__xludf.DUMMYFUNCTION("""COMPUTED_VALUE"""),"PASCO")</f>
        <v>PASCO</v>
      </c>
      <c r="F1601" s="25" t="str">
        <f ca="1">IFERROR(__xludf.DUMMYFUNCTION("""COMPUTED_VALUE"""),"OXAPAMPA")</f>
        <v>OXAPAMPA</v>
      </c>
      <c r="G1601" s="25" t="str">
        <f ca="1">IFERROR(__xludf.DUMMYFUNCTION("""COMPUTED_VALUE"""),"VILLA RICA")</f>
        <v>VILLA RICA</v>
      </c>
      <c r="H1601" s="25" t="str">
        <f ca="1">IFERROR(__xludf.DUMMYFUNCTION("""COMPUTED_VALUE"""),"URBANO")</f>
        <v>URBANO</v>
      </c>
      <c r="I1601" s="25" t="str">
        <f ca="1">IFERROR(__xludf.DUMMYFUNCTION("""COMPUTED_VALUE"""),"Prioridad 1")</f>
        <v>Prioridad 1</v>
      </c>
      <c r="J1601" s="43" t="s">
        <v>261</v>
      </c>
    </row>
    <row r="1602" spans="2:10">
      <c r="B1602" s="25" t="str">
        <f ca="1">IFERROR(__xludf.DUMMYFUNCTION("""COMPUTED_VALUE"""),"MUNICIPALIDAD PROVINCIAL")</f>
        <v>MUNICIPALIDAD PROVINCIAL</v>
      </c>
      <c r="C1602" s="25" t="str">
        <f ca="1">IFERROR(__xludf.DUMMYFUNCTION("""COMPUTED_VALUE"""),"MUNICIPALIDAD PROVINCIAL DE PASCO")</f>
        <v>MUNICIPALIDAD PROVINCIAL DE PASCO</v>
      </c>
      <c r="D1602" s="25" t="str">
        <f ca="1">IFERROR(__xludf.DUMMYFUNCTION("""COMPUTED_VALUE"""),"JUNÍN")</f>
        <v>JUNÍN</v>
      </c>
      <c r="E1602" s="25" t="str">
        <f ca="1">IFERROR(__xludf.DUMMYFUNCTION("""COMPUTED_VALUE"""),"PASCO")</f>
        <v>PASCO</v>
      </c>
      <c r="F1602" s="25" t="str">
        <f ca="1">IFERROR(__xludf.DUMMYFUNCTION("""COMPUTED_VALUE"""),"PASCO")</f>
        <v>PASCO</v>
      </c>
      <c r="G1602" s="25" t="str">
        <f ca="1">IFERROR(__xludf.DUMMYFUNCTION("""COMPUTED_VALUE"""),"CHAUPIMARCA")</f>
        <v>CHAUPIMARCA</v>
      </c>
      <c r="H1602" s="25" t="str">
        <f ca="1">IFERROR(__xludf.DUMMYFUNCTION("""COMPUTED_VALUE"""),"URBANO")</f>
        <v>URBANO</v>
      </c>
      <c r="I1602" s="25" t="str">
        <f ca="1">IFERROR(__xludf.DUMMYFUNCTION("""COMPUTED_VALUE"""),"Prioridad 1")</f>
        <v>Prioridad 1</v>
      </c>
      <c r="J1602" s="43" t="s">
        <v>261</v>
      </c>
    </row>
    <row r="1603" spans="2:10">
      <c r="B1603" s="25" t="str">
        <f ca="1">IFERROR(__xludf.DUMMYFUNCTION("""COMPUTED_VALUE"""),"MUNICIPALIDAD DISTRITAL")</f>
        <v>MUNICIPALIDAD DISTRITAL</v>
      </c>
      <c r="C1603" s="25" t="str">
        <f ca="1">IFERROR(__xludf.DUMMYFUNCTION("""COMPUTED_VALUE"""),"MUNICIPALIDAD DISTRITAL DE HUACHON")</f>
        <v>MUNICIPALIDAD DISTRITAL DE HUACHON</v>
      </c>
      <c r="D1603" s="25" t="str">
        <f ca="1">IFERROR(__xludf.DUMMYFUNCTION("""COMPUTED_VALUE"""),"JUNÍN")</f>
        <v>JUNÍN</v>
      </c>
      <c r="E1603" s="25" t="str">
        <f ca="1">IFERROR(__xludf.DUMMYFUNCTION("""COMPUTED_VALUE"""),"PASCO")</f>
        <v>PASCO</v>
      </c>
      <c r="F1603" s="25" t="str">
        <f ca="1">IFERROR(__xludf.DUMMYFUNCTION("""COMPUTED_VALUE"""),"PASCO")</f>
        <v>PASCO</v>
      </c>
      <c r="G1603" s="25" t="str">
        <f ca="1">IFERROR(__xludf.DUMMYFUNCTION("""COMPUTED_VALUE"""),"HUACHON")</f>
        <v>HUACHON</v>
      </c>
      <c r="H1603" s="25" t="str">
        <f ca="1">IFERROR(__xludf.DUMMYFUNCTION("""COMPUTED_VALUE"""),"URBANO")</f>
        <v>URBANO</v>
      </c>
      <c r="I1603" s="25" t="str">
        <f ca="1">IFERROR(__xludf.DUMMYFUNCTION("""COMPUTED_VALUE"""),"Prioridad 2")</f>
        <v>Prioridad 2</v>
      </c>
      <c r="J1603" s="43" t="s">
        <v>261</v>
      </c>
    </row>
    <row r="1604" spans="2:10">
      <c r="B1604" s="25" t="str">
        <f ca="1">IFERROR(__xludf.DUMMYFUNCTION("""COMPUTED_VALUE"""),"MUNICIPALIDAD DISTRITAL")</f>
        <v>MUNICIPALIDAD DISTRITAL</v>
      </c>
      <c r="C1604" s="25" t="str">
        <f ca="1">IFERROR(__xludf.DUMMYFUNCTION("""COMPUTED_VALUE"""),"MUNICIPALIDAD DISTRITAL DE HUARIACA")</f>
        <v>MUNICIPALIDAD DISTRITAL DE HUARIACA</v>
      </c>
      <c r="D1604" s="25" t="str">
        <f ca="1">IFERROR(__xludf.DUMMYFUNCTION("""COMPUTED_VALUE"""),"JUNÍN")</f>
        <v>JUNÍN</v>
      </c>
      <c r="E1604" s="25" t="str">
        <f ca="1">IFERROR(__xludf.DUMMYFUNCTION("""COMPUTED_VALUE"""),"PASCO")</f>
        <v>PASCO</v>
      </c>
      <c r="F1604" s="25" t="str">
        <f ca="1">IFERROR(__xludf.DUMMYFUNCTION("""COMPUTED_VALUE"""),"PASCO")</f>
        <v>PASCO</v>
      </c>
      <c r="G1604" s="25" t="str">
        <f ca="1">IFERROR(__xludf.DUMMYFUNCTION("""COMPUTED_VALUE"""),"HUARIACA")</f>
        <v>HUARIACA</v>
      </c>
      <c r="H1604" s="25" t="str">
        <f ca="1">IFERROR(__xludf.DUMMYFUNCTION("""COMPUTED_VALUE"""),"URBANO")</f>
        <v>URBANO</v>
      </c>
      <c r="I1604" s="25" t="str">
        <f ca="1">IFERROR(__xludf.DUMMYFUNCTION("""COMPUTED_VALUE"""),"Prioridad 1")</f>
        <v>Prioridad 1</v>
      </c>
      <c r="J1604" s="43" t="s">
        <v>261</v>
      </c>
    </row>
    <row r="1605" spans="2:10">
      <c r="B1605" s="25" t="str">
        <f ca="1">IFERROR(__xludf.DUMMYFUNCTION("""COMPUTED_VALUE"""),"MUNICIPALIDAD DISTRITAL")</f>
        <v>MUNICIPALIDAD DISTRITAL</v>
      </c>
      <c r="C1605" s="25" t="str">
        <f ca="1">IFERROR(__xludf.DUMMYFUNCTION("""COMPUTED_VALUE"""),"MUNICIPALIDAD DISTRITAL DE HUAYLLAY")</f>
        <v>MUNICIPALIDAD DISTRITAL DE HUAYLLAY</v>
      </c>
      <c r="D1605" s="25" t="str">
        <f ca="1">IFERROR(__xludf.DUMMYFUNCTION("""COMPUTED_VALUE"""),"JUNÍN")</f>
        <v>JUNÍN</v>
      </c>
      <c r="E1605" s="25" t="str">
        <f ca="1">IFERROR(__xludf.DUMMYFUNCTION("""COMPUTED_VALUE"""),"PASCO")</f>
        <v>PASCO</v>
      </c>
      <c r="F1605" s="25" t="str">
        <f ca="1">IFERROR(__xludf.DUMMYFUNCTION("""COMPUTED_VALUE"""),"PASCO")</f>
        <v>PASCO</v>
      </c>
      <c r="G1605" s="25" t="str">
        <f ca="1">IFERROR(__xludf.DUMMYFUNCTION("""COMPUTED_VALUE"""),"HUAYLLAY")</f>
        <v>HUAYLLAY</v>
      </c>
      <c r="H1605" s="25" t="str">
        <f ca="1">IFERROR(__xludf.DUMMYFUNCTION("""COMPUTED_VALUE"""),"URBANO")</f>
        <v>URBANO</v>
      </c>
      <c r="I1605" s="25" t="str">
        <f ca="1">IFERROR(__xludf.DUMMYFUNCTION("""COMPUTED_VALUE"""),"Prioridad 2")</f>
        <v>Prioridad 2</v>
      </c>
      <c r="J1605" s="43" t="s">
        <v>261</v>
      </c>
    </row>
    <row r="1606" spans="2:10">
      <c r="B1606" s="25" t="str">
        <f ca="1">IFERROR(__xludf.DUMMYFUNCTION("""COMPUTED_VALUE"""),"MUNICIPALIDAD DISTRITAL")</f>
        <v>MUNICIPALIDAD DISTRITAL</v>
      </c>
      <c r="C1606" s="25" t="str">
        <f ca="1">IFERROR(__xludf.DUMMYFUNCTION("""COMPUTED_VALUE"""),"MUNICIPALIDAD DISTRITAL DE NINACACA")</f>
        <v>MUNICIPALIDAD DISTRITAL DE NINACACA</v>
      </c>
      <c r="D1606" s="25" t="str">
        <f ca="1">IFERROR(__xludf.DUMMYFUNCTION("""COMPUTED_VALUE"""),"JUNÍN")</f>
        <v>JUNÍN</v>
      </c>
      <c r="E1606" s="25" t="str">
        <f ca="1">IFERROR(__xludf.DUMMYFUNCTION("""COMPUTED_VALUE"""),"PASCO")</f>
        <v>PASCO</v>
      </c>
      <c r="F1606" s="25" t="str">
        <f ca="1">IFERROR(__xludf.DUMMYFUNCTION("""COMPUTED_VALUE"""),"PASCO")</f>
        <v>PASCO</v>
      </c>
      <c r="G1606" s="25" t="str">
        <f ca="1">IFERROR(__xludf.DUMMYFUNCTION("""COMPUTED_VALUE"""),"NINACACA")</f>
        <v>NINACACA</v>
      </c>
      <c r="H1606" s="25" t="str">
        <f ca="1">IFERROR(__xludf.DUMMYFUNCTION("""COMPUTED_VALUE"""),"URBANO")</f>
        <v>URBANO</v>
      </c>
      <c r="I1606" s="25" t="str">
        <f ca="1">IFERROR(__xludf.DUMMYFUNCTION("""COMPUTED_VALUE"""),"Prioridad 1")</f>
        <v>Prioridad 1</v>
      </c>
      <c r="J1606" s="43" t="s">
        <v>261</v>
      </c>
    </row>
    <row r="1607" spans="2:10">
      <c r="B1607" s="25" t="str">
        <f ca="1">IFERROR(__xludf.DUMMYFUNCTION("""COMPUTED_VALUE"""),"MUNICIPALIDAD DISTRITAL")</f>
        <v>MUNICIPALIDAD DISTRITAL</v>
      </c>
      <c r="C1607" s="25" t="str">
        <f ca="1">IFERROR(__xludf.DUMMYFUNCTION("""COMPUTED_VALUE"""),"MUNICIPALIDAD DISTRITAL DE PALLANCHACRA")</f>
        <v>MUNICIPALIDAD DISTRITAL DE PALLANCHACRA</v>
      </c>
      <c r="D1607" s="25" t="str">
        <f ca="1">IFERROR(__xludf.DUMMYFUNCTION("""COMPUTED_VALUE"""),"JUNÍN")</f>
        <v>JUNÍN</v>
      </c>
      <c r="E1607" s="25" t="str">
        <f ca="1">IFERROR(__xludf.DUMMYFUNCTION("""COMPUTED_VALUE"""),"PASCO")</f>
        <v>PASCO</v>
      </c>
      <c r="F1607" s="25" t="str">
        <f ca="1">IFERROR(__xludf.DUMMYFUNCTION("""COMPUTED_VALUE"""),"PASCO")</f>
        <v>PASCO</v>
      </c>
      <c r="G1607" s="25" t="str">
        <f ca="1">IFERROR(__xludf.DUMMYFUNCTION("""COMPUTED_VALUE"""),"PALLANCHACRA")</f>
        <v>PALLANCHACRA</v>
      </c>
      <c r="H1607" s="25" t="str">
        <f ca="1">IFERROR(__xludf.DUMMYFUNCTION("""COMPUTED_VALUE"""),"RURAL")</f>
        <v>RURAL</v>
      </c>
      <c r="I1607" s="25" t="str">
        <f ca="1">IFERROR(__xludf.DUMMYFUNCTION("""COMPUTED_VALUE"""),"Prioridad 2")</f>
        <v>Prioridad 2</v>
      </c>
      <c r="J1607" s="43" t="s">
        <v>261</v>
      </c>
    </row>
    <row r="1608" spans="2:10">
      <c r="B1608" s="25" t="str">
        <f ca="1">IFERROR(__xludf.DUMMYFUNCTION("""COMPUTED_VALUE"""),"MUNICIPALIDAD DISTRITAL")</f>
        <v>MUNICIPALIDAD DISTRITAL</v>
      </c>
      <c r="C1608" s="25" t="str">
        <f ca="1">IFERROR(__xludf.DUMMYFUNCTION("""COMPUTED_VALUE"""),"MUNICIPALIDAD DISTRITAL DE PAUCARTAMBO")</f>
        <v>MUNICIPALIDAD DISTRITAL DE PAUCARTAMBO</v>
      </c>
      <c r="D1608" s="25" t="str">
        <f ca="1">IFERROR(__xludf.DUMMYFUNCTION("""COMPUTED_VALUE"""),"JUNÍN")</f>
        <v>JUNÍN</v>
      </c>
      <c r="E1608" s="25" t="str">
        <f ca="1">IFERROR(__xludf.DUMMYFUNCTION("""COMPUTED_VALUE"""),"PASCO")</f>
        <v>PASCO</v>
      </c>
      <c r="F1608" s="25" t="str">
        <f ca="1">IFERROR(__xludf.DUMMYFUNCTION("""COMPUTED_VALUE"""),"PASCO")</f>
        <v>PASCO</v>
      </c>
      <c r="G1608" s="25" t="str">
        <f ca="1">IFERROR(__xludf.DUMMYFUNCTION("""COMPUTED_VALUE"""),"PAUCARTAMBO")</f>
        <v>PAUCARTAMBO</v>
      </c>
      <c r="H1608" s="25" t="str">
        <f ca="1">IFERROR(__xludf.DUMMYFUNCTION("""COMPUTED_VALUE"""),"URBANO")</f>
        <v>URBANO</v>
      </c>
      <c r="I1608" s="25" t="str">
        <f ca="1">IFERROR(__xludf.DUMMYFUNCTION("""COMPUTED_VALUE"""),"Prioridad 2")</f>
        <v>Prioridad 2</v>
      </c>
      <c r="J1608" s="43" t="s">
        <v>261</v>
      </c>
    </row>
    <row r="1609" spans="2:10">
      <c r="B1609" s="25" t="str">
        <f ca="1">IFERROR(__xludf.DUMMYFUNCTION("""COMPUTED_VALUE"""),"MUNICIPALIDAD DISTRITAL")</f>
        <v>MUNICIPALIDAD DISTRITAL</v>
      </c>
      <c r="C1609" s="25" t="str">
        <f ca="1">IFERROR(__xludf.DUMMYFUNCTION("""COMPUTED_VALUE"""),"MUNICIPALIDAD DISTRITAL DE SAN FRANCISCO DE ASIS DE YARUSYACAN")</f>
        <v>MUNICIPALIDAD DISTRITAL DE SAN FRANCISCO DE ASIS DE YARUSYACAN</v>
      </c>
      <c r="D1609" s="25" t="str">
        <f ca="1">IFERROR(__xludf.DUMMYFUNCTION("""COMPUTED_VALUE"""),"JUNÍN")</f>
        <v>JUNÍN</v>
      </c>
      <c r="E1609" s="25" t="str">
        <f ca="1">IFERROR(__xludf.DUMMYFUNCTION("""COMPUTED_VALUE"""),"PASCO")</f>
        <v>PASCO</v>
      </c>
      <c r="F1609" s="25" t="str">
        <f ca="1">IFERROR(__xludf.DUMMYFUNCTION("""COMPUTED_VALUE"""),"PASCO")</f>
        <v>PASCO</v>
      </c>
      <c r="G1609" s="25" t="str">
        <f ca="1">IFERROR(__xludf.DUMMYFUNCTION("""COMPUTED_VALUE"""),"SAN FRANCISCO DE ASIS DE YARUSYACAN")</f>
        <v>SAN FRANCISCO DE ASIS DE YARUSYACAN</v>
      </c>
      <c r="H1609" s="25" t="str">
        <f ca="1">IFERROR(__xludf.DUMMYFUNCTION("""COMPUTED_VALUE"""),"RURAL")</f>
        <v>RURAL</v>
      </c>
      <c r="I1609" s="25" t="str">
        <f ca="1">IFERROR(__xludf.DUMMYFUNCTION("""COMPUTED_VALUE"""),"Prioridad 4")</f>
        <v>Prioridad 4</v>
      </c>
      <c r="J1609" s="43" t="s">
        <v>261</v>
      </c>
    </row>
    <row r="1610" spans="2:10">
      <c r="B1610" s="25" t="str">
        <f ca="1">IFERROR(__xludf.DUMMYFUNCTION("""COMPUTED_VALUE"""),"MUNICIPALIDAD DISTRITAL")</f>
        <v>MUNICIPALIDAD DISTRITAL</v>
      </c>
      <c r="C1610" s="25" t="str">
        <f ca="1">IFERROR(__xludf.DUMMYFUNCTION("""COMPUTED_VALUE"""),"MUNICIPALIDAD DISTRITAL DE SIMON BOLIVAR")</f>
        <v>MUNICIPALIDAD DISTRITAL DE SIMON BOLIVAR</v>
      </c>
      <c r="D1610" s="25" t="str">
        <f ca="1">IFERROR(__xludf.DUMMYFUNCTION("""COMPUTED_VALUE"""),"JUNÍN")</f>
        <v>JUNÍN</v>
      </c>
      <c r="E1610" s="25" t="str">
        <f ca="1">IFERROR(__xludf.DUMMYFUNCTION("""COMPUTED_VALUE"""),"PASCO")</f>
        <v>PASCO</v>
      </c>
      <c r="F1610" s="25" t="str">
        <f ca="1">IFERROR(__xludf.DUMMYFUNCTION("""COMPUTED_VALUE"""),"PASCO")</f>
        <v>PASCO</v>
      </c>
      <c r="G1610" s="25" t="str">
        <f ca="1">IFERROR(__xludf.DUMMYFUNCTION("""COMPUTED_VALUE"""),"SIMON BOLIVAR")</f>
        <v>SIMON BOLIVAR</v>
      </c>
      <c r="H1610" s="25" t="str">
        <f ca="1">IFERROR(__xludf.DUMMYFUNCTION("""COMPUTED_VALUE"""),"URBANO")</f>
        <v>URBANO</v>
      </c>
      <c r="I1610" s="25" t="str">
        <f ca="1">IFERROR(__xludf.DUMMYFUNCTION("""COMPUTED_VALUE"""),"Prioridad 3")</f>
        <v>Prioridad 3</v>
      </c>
      <c r="J1610" s="43" t="s">
        <v>261</v>
      </c>
    </row>
    <row r="1611" spans="2:10">
      <c r="B1611" s="25" t="str">
        <f ca="1">IFERROR(__xludf.DUMMYFUNCTION("""COMPUTED_VALUE"""),"UNIVERSIDAD PRIVADA")</f>
        <v>UNIVERSIDAD PRIVADA</v>
      </c>
      <c r="C1611" s="25" t="str">
        <f ca="1">IFERROR(__xludf.DUMMYFUNCTION("""COMPUTED_VALUE"""),"FACULTAD DE TEOLOGÍA PONTIFICIA Y CIVIL DE LIMA")</f>
        <v>FACULTAD DE TEOLOGÍA PONTIFICIA Y CIVIL DE LIMA</v>
      </c>
      <c r="D1611" s="25" t="str">
        <f ca="1">IFERROR(__xludf.DUMMYFUNCTION("""COMPUTED_VALUE"""),"SEDE CENTRAL")</f>
        <v>SEDE CENTRAL</v>
      </c>
      <c r="E1611" s="25" t="str">
        <f ca="1">IFERROR(__xludf.DUMMYFUNCTION("""COMPUTED_VALUE"""),"LIMA")</f>
        <v>LIMA</v>
      </c>
      <c r="F1611" s="25"/>
      <c r="G1611" s="25"/>
      <c r="H1611" s="25"/>
      <c r="I1611" s="25" t="str">
        <f ca="1">IFERROR(__xludf.DUMMYFUNCTION("""COMPUTED_VALUE"""),"Prioridad 4")</f>
        <v>Prioridad 4</v>
      </c>
      <c r="J1611" s="43" t="s">
        <v>261</v>
      </c>
    </row>
    <row r="1612" spans="2:10">
      <c r="B1612" s="25" t="str">
        <f ca="1">IFERROR(__xludf.DUMMYFUNCTION("""COMPUTED_VALUE"""),"UNIVERSIDAD PRIVADA")</f>
        <v>UNIVERSIDAD PRIVADA</v>
      </c>
      <c r="C1612" s="25" t="str">
        <f ca="1">IFERROR(__xludf.DUMMYFUNCTION("""COMPUTED_VALUE"""),"PONTIFICIA UNIVERSIDAD CATÓLICA DEL PERÚ")</f>
        <v>PONTIFICIA UNIVERSIDAD CATÓLICA DEL PERÚ</v>
      </c>
      <c r="D1612" s="25" t="str">
        <f ca="1">IFERROR(__xludf.DUMMYFUNCTION("""COMPUTED_VALUE"""),"SEDE CENTRAL")</f>
        <v>SEDE CENTRAL</v>
      </c>
      <c r="E1612" s="25" t="str">
        <f ca="1">IFERROR(__xludf.DUMMYFUNCTION("""COMPUTED_VALUE"""),"LIMA")</f>
        <v>LIMA</v>
      </c>
      <c r="F1612" s="25"/>
      <c r="G1612" s="25"/>
      <c r="H1612" s="25"/>
      <c r="I1612" s="25" t="str">
        <f ca="1">IFERROR(__xludf.DUMMYFUNCTION("""COMPUTED_VALUE"""),"Prioridad 1")</f>
        <v>Prioridad 1</v>
      </c>
      <c r="J1612" s="43" t="s">
        <v>261</v>
      </c>
    </row>
    <row r="1613" spans="2:10">
      <c r="B1613" s="25" t="str">
        <f ca="1">IFERROR(__xludf.DUMMYFUNCTION("""COMPUTED_VALUE"""),"UNIVERSIDAD PRIVADA")</f>
        <v>UNIVERSIDAD PRIVADA</v>
      </c>
      <c r="C1613" s="25" t="str">
        <f ca="1">IFERROR(__xludf.DUMMYFUNCTION("""COMPUTED_VALUE"""),"UNIVERSIDAD ANTONIO RUÍZ DE MONTOYA")</f>
        <v>UNIVERSIDAD ANTONIO RUÍZ DE MONTOYA</v>
      </c>
      <c r="D1613" s="25" t="str">
        <f ca="1">IFERROR(__xludf.DUMMYFUNCTION("""COMPUTED_VALUE"""),"SEDE CENTRAL")</f>
        <v>SEDE CENTRAL</v>
      </c>
      <c r="E1613" s="25" t="str">
        <f ca="1">IFERROR(__xludf.DUMMYFUNCTION("""COMPUTED_VALUE"""),"LIMA")</f>
        <v>LIMA</v>
      </c>
      <c r="F1613" s="25"/>
      <c r="G1613" s="25"/>
      <c r="H1613" s="25"/>
      <c r="I1613" s="25" t="str">
        <f ca="1">IFERROR(__xludf.DUMMYFUNCTION("""COMPUTED_VALUE"""),"Prioridad 2")</f>
        <v>Prioridad 2</v>
      </c>
      <c r="J1613" s="43" t="s">
        <v>261</v>
      </c>
    </row>
    <row r="1614" spans="2:10">
      <c r="B1614" s="25" t="str">
        <f ca="1">IFERROR(__xludf.DUMMYFUNCTION("""COMPUTED_VALUE"""),"UNIVERSIDAD PRIVADA")</f>
        <v>UNIVERSIDAD PRIVADA</v>
      </c>
      <c r="C1614" s="25" t="str">
        <f ca="1">IFERROR(__xludf.DUMMYFUNCTION("""COMPUTED_VALUE"""),"UNIVERSIDAD AUTÓNOMA DEL PERÚ S.A.C.")</f>
        <v>UNIVERSIDAD AUTÓNOMA DEL PERÚ S.A.C.</v>
      </c>
      <c r="D1614" s="25" t="str">
        <f ca="1">IFERROR(__xludf.DUMMYFUNCTION("""COMPUTED_VALUE"""),"SEDE CENTRAL")</f>
        <v>SEDE CENTRAL</v>
      </c>
      <c r="E1614" s="25" t="str">
        <f ca="1">IFERROR(__xludf.DUMMYFUNCTION("""COMPUTED_VALUE"""),"LIMA")</f>
        <v>LIMA</v>
      </c>
      <c r="F1614" s="25"/>
      <c r="G1614" s="25"/>
      <c r="H1614" s="25"/>
      <c r="I1614" s="25" t="str">
        <f ca="1">IFERROR(__xludf.DUMMYFUNCTION("""COMPUTED_VALUE"""),"Prioridad 3")</f>
        <v>Prioridad 3</v>
      </c>
      <c r="J1614" s="43" t="s">
        <v>261</v>
      </c>
    </row>
    <row r="1615" spans="2:10">
      <c r="B1615" s="25" t="str">
        <f ca="1">IFERROR(__xludf.DUMMYFUNCTION("""COMPUTED_VALUE"""),"UNIVERSIDAD PRIVADA")</f>
        <v>UNIVERSIDAD PRIVADA</v>
      </c>
      <c r="C1615" s="25" t="str">
        <f ca="1">IFERROR(__xludf.DUMMYFUNCTION("""COMPUTED_VALUE"""),"UNIVERSIDAD CATÓLICA SEDE SAPIENTIAE")</f>
        <v>UNIVERSIDAD CATÓLICA SEDE SAPIENTIAE</v>
      </c>
      <c r="D1615" s="25" t="str">
        <f ca="1">IFERROR(__xludf.DUMMYFUNCTION("""COMPUTED_VALUE"""),"SEDE CENTRAL")</f>
        <v>SEDE CENTRAL</v>
      </c>
      <c r="E1615" s="25" t="str">
        <f ca="1">IFERROR(__xludf.DUMMYFUNCTION("""COMPUTED_VALUE"""),"LIMA")</f>
        <v>LIMA</v>
      </c>
      <c r="F1615" s="25"/>
      <c r="G1615" s="25"/>
      <c r="H1615" s="25"/>
      <c r="I1615" s="25" t="str">
        <f ca="1">IFERROR(__xludf.DUMMYFUNCTION("""COMPUTED_VALUE"""),"Prioridad 5")</f>
        <v>Prioridad 5</v>
      </c>
      <c r="J1615" s="43" t="s">
        <v>261</v>
      </c>
    </row>
    <row r="1616" spans="2:10">
      <c r="B1616" s="25" t="str">
        <f ca="1">IFERROR(__xludf.DUMMYFUNCTION("""COMPUTED_VALUE"""),"UNIVERSIDAD PRIVADA")</f>
        <v>UNIVERSIDAD PRIVADA</v>
      </c>
      <c r="C1616" s="25" t="str">
        <f ca="1">IFERROR(__xludf.DUMMYFUNCTION("""COMPUTED_VALUE"""),"UNIVERSIDAD CIENTÍFICA DEL SUR S.A.C.")</f>
        <v>UNIVERSIDAD CIENTÍFICA DEL SUR S.A.C.</v>
      </c>
      <c r="D1616" s="25" t="str">
        <f ca="1">IFERROR(__xludf.DUMMYFUNCTION("""COMPUTED_VALUE"""),"SEDE CENTRAL")</f>
        <v>SEDE CENTRAL</v>
      </c>
      <c r="E1616" s="25" t="str">
        <f ca="1">IFERROR(__xludf.DUMMYFUNCTION("""COMPUTED_VALUE"""),"LIMA")</f>
        <v>LIMA</v>
      </c>
      <c r="F1616" s="25"/>
      <c r="G1616" s="25"/>
      <c r="H1616" s="25"/>
      <c r="I1616" s="25" t="str">
        <f ca="1">IFERROR(__xludf.DUMMYFUNCTION("""COMPUTED_VALUE"""),"Prioridad 3")</f>
        <v>Prioridad 3</v>
      </c>
      <c r="J1616" s="43" t="s">
        <v>261</v>
      </c>
    </row>
    <row r="1617" spans="2:10">
      <c r="B1617" s="25" t="str">
        <f ca="1">IFERROR(__xludf.DUMMYFUNCTION("""COMPUTED_VALUE"""),"UNIVERSIDAD PRIVADA")</f>
        <v>UNIVERSIDAD PRIVADA</v>
      </c>
      <c r="C1617" s="25" t="str">
        <f ca="1">IFERROR(__xludf.DUMMYFUNCTION("""COMPUTED_VALUE"""),"UNIVERSIDAD DE CIENCIAS Y ARTES DE AMÉRICA LATINA S.A.C.")</f>
        <v>UNIVERSIDAD DE CIENCIAS Y ARTES DE AMÉRICA LATINA S.A.C.</v>
      </c>
      <c r="D1617" s="25" t="str">
        <f ca="1">IFERROR(__xludf.DUMMYFUNCTION("""COMPUTED_VALUE"""),"SEDE CENTRAL")</f>
        <v>SEDE CENTRAL</v>
      </c>
      <c r="E1617" s="25" t="str">
        <f ca="1">IFERROR(__xludf.DUMMYFUNCTION("""COMPUTED_VALUE"""),"LIMA")</f>
        <v>LIMA</v>
      </c>
      <c r="F1617" s="25"/>
      <c r="G1617" s="25"/>
      <c r="H1617" s="25"/>
      <c r="I1617" s="25" t="str">
        <f ca="1">IFERROR(__xludf.DUMMYFUNCTION("""COMPUTED_VALUE"""),"Prioridad 4")</f>
        <v>Prioridad 4</v>
      </c>
      <c r="J1617" s="43" t="s">
        <v>261</v>
      </c>
    </row>
    <row r="1618" spans="2:10">
      <c r="B1618" s="25" t="str">
        <f ca="1">IFERROR(__xludf.DUMMYFUNCTION("""COMPUTED_VALUE"""),"UNIVERSIDAD PRIVADA")</f>
        <v>UNIVERSIDAD PRIVADA</v>
      </c>
      <c r="C1618" s="25" t="str">
        <f ca="1">IFERROR(__xludf.DUMMYFUNCTION("""COMPUTED_VALUE"""),"UNIVERSIDAD DE CIENCIAS Y HUMANIDADES")</f>
        <v>UNIVERSIDAD DE CIENCIAS Y HUMANIDADES</v>
      </c>
      <c r="D1618" s="25" t="str">
        <f ca="1">IFERROR(__xludf.DUMMYFUNCTION("""COMPUTED_VALUE"""),"SEDE CENTRAL")</f>
        <v>SEDE CENTRAL</v>
      </c>
      <c r="E1618" s="25" t="str">
        <f ca="1">IFERROR(__xludf.DUMMYFUNCTION("""COMPUTED_VALUE"""),"LIMA")</f>
        <v>LIMA</v>
      </c>
      <c r="F1618" s="25"/>
      <c r="G1618" s="25"/>
      <c r="H1618" s="25"/>
      <c r="I1618" s="25" t="str">
        <f ca="1">IFERROR(__xludf.DUMMYFUNCTION("""COMPUTED_VALUE"""),"Prioridad 3")</f>
        <v>Prioridad 3</v>
      </c>
      <c r="J1618" s="43" t="s">
        <v>261</v>
      </c>
    </row>
    <row r="1619" spans="2:10">
      <c r="B1619" s="25" t="str">
        <f ca="1">IFERROR(__xludf.DUMMYFUNCTION("""COMPUTED_VALUE"""),"UNIVERSIDAD PRIVADA")</f>
        <v>UNIVERSIDAD PRIVADA</v>
      </c>
      <c r="C1619" s="25" t="str">
        <f ca="1">IFERROR(__xludf.DUMMYFUNCTION("""COMPUTED_VALUE"""),"UNIVERSIDAD DE INGENIERÍA Y TECNOLOGÍA")</f>
        <v>UNIVERSIDAD DE INGENIERÍA Y TECNOLOGÍA</v>
      </c>
      <c r="D1619" s="25" t="str">
        <f ca="1">IFERROR(__xludf.DUMMYFUNCTION("""COMPUTED_VALUE"""),"SEDE CENTRAL")</f>
        <v>SEDE CENTRAL</v>
      </c>
      <c r="E1619" s="25" t="str">
        <f ca="1">IFERROR(__xludf.DUMMYFUNCTION("""COMPUTED_VALUE"""),"LIMA")</f>
        <v>LIMA</v>
      </c>
      <c r="F1619" s="25"/>
      <c r="G1619" s="25"/>
      <c r="H1619" s="25"/>
      <c r="I1619" s="25" t="str">
        <f ca="1">IFERROR(__xludf.DUMMYFUNCTION("""COMPUTED_VALUE"""),"Prioridad 3")</f>
        <v>Prioridad 3</v>
      </c>
      <c r="J1619" s="43" t="s">
        <v>261</v>
      </c>
    </row>
    <row r="1620" spans="2:10">
      <c r="B1620" s="25" t="str">
        <f ca="1">IFERROR(__xludf.DUMMYFUNCTION("""COMPUTED_VALUE"""),"UNIVERSIDAD PRIVADA")</f>
        <v>UNIVERSIDAD PRIVADA</v>
      </c>
      <c r="C1620" s="25" t="str">
        <f ca="1">IFERROR(__xludf.DUMMYFUNCTION("""COMPUTED_VALUE"""),"UNIVERSIDAD DE LIMA")</f>
        <v>UNIVERSIDAD DE LIMA</v>
      </c>
      <c r="D1620" s="25" t="str">
        <f ca="1">IFERROR(__xludf.DUMMYFUNCTION("""COMPUTED_VALUE"""),"SEDE CENTRAL")</f>
        <v>SEDE CENTRAL</v>
      </c>
      <c r="E1620" s="25" t="str">
        <f ca="1">IFERROR(__xludf.DUMMYFUNCTION("""COMPUTED_VALUE"""),"LIMA")</f>
        <v>LIMA</v>
      </c>
      <c r="F1620" s="25"/>
      <c r="G1620" s="25"/>
      <c r="H1620" s="25"/>
      <c r="I1620" s="25" t="str">
        <f ca="1">IFERROR(__xludf.DUMMYFUNCTION("""COMPUTED_VALUE"""),"Prioridad 1")</f>
        <v>Prioridad 1</v>
      </c>
      <c r="J1620" s="43" t="s">
        <v>261</v>
      </c>
    </row>
    <row r="1621" spans="2:10">
      <c r="B1621" s="25" t="str">
        <f ca="1">IFERROR(__xludf.DUMMYFUNCTION("""COMPUTED_VALUE"""),"UNIVERSIDAD PRIVADA")</f>
        <v>UNIVERSIDAD PRIVADA</v>
      </c>
      <c r="C1621" s="25" t="str">
        <f ca="1">IFERROR(__xludf.DUMMYFUNCTION("""COMPUTED_VALUE"""),"UNIVERSIDAD DE SAN MARTÍN DE PORRES")</f>
        <v>UNIVERSIDAD DE SAN MARTÍN DE PORRES</v>
      </c>
      <c r="D1621" s="25" t="str">
        <f ca="1">IFERROR(__xludf.DUMMYFUNCTION("""COMPUTED_VALUE"""),"SEDE CENTRAL")</f>
        <v>SEDE CENTRAL</v>
      </c>
      <c r="E1621" s="25" t="str">
        <f ca="1">IFERROR(__xludf.DUMMYFUNCTION("""COMPUTED_VALUE"""),"LIMA")</f>
        <v>LIMA</v>
      </c>
      <c r="F1621" s="25"/>
      <c r="G1621" s="25"/>
      <c r="H1621" s="25"/>
      <c r="I1621" s="25" t="str">
        <f ca="1">IFERROR(__xludf.DUMMYFUNCTION("""COMPUTED_VALUE"""),"Prioridad 2")</f>
        <v>Prioridad 2</v>
      </c>
      <c r="J1621" s="43" t="s">
        <v>261</v>
      </c>
    </row>
    <row r="1622" spans="2:10">
      <c r="B1622" s="25" t="str">
        <f ca="1">IFERROR(__xludf.DUMMYFUNCTION("""COMPUTED_VALUE"""),"UNIVERSIDAD PRIVADA")</f>
        <v>UNIVERSIDAD PRIVADA</v>
      </c>
      <c r="C1622" s="25" t="str">
        <f ca="1">IFERROR(__xludf.DUMMYFUNCTION("""COMPUTED_VALUE"""),"UNIVERSIDAD DEL PACÍFICO")</f>
        <v>UNIVERSIDAD DEL PACÍFICO</v>
      </c>
      <c r="D1622" s="25" t="str">
        <f ca="1">IFERROR(__xludf.DUMMYFUNCTION("""COMPUTED_VALUE"""),"SEDE CENTRAL")</f>
        <v>SEDE CENTRAL</v>
      </c>
      <c r="E1622" s="25" t="str">
        <f ca="1">IFERROR(__xludf.DUMMYFUNCTION("""COMPUTED_VALUE"""),"LIMA")</f>
        <v>LIMA</v>
      </c>
      <c r="F1622" s="25"/>
      <c r="G1622" s="25"/>
      <c r="H1622" s="25"/>
      <c r="I1622" s="25" t="str">
        <f ca="1">IFERROR(__xludf.DUMMYFUNCTION("""COMPUTED_VALUE"""),"Prioridad 2")</f>
        <v>Prioridad 2</v>
      </c>
      <c r="J1622" s="43" t="s">
        <v>261</v>
      </c>
    </row>
    <row r="1623" spans="2:10">
      <c r="B1623" s="25" t="str">
        <f ca="1">IFERROR(__xludf.DUMMYFUNCTION("""COMPUTED_VALUE"""),"UNIVERSIDAD PRIVADA")</f>
        <v>UNIVERSIDAD PRIVADA</v>
      </c>
      <c r="C1623" s="25" t="str">
        <f ca="1">IFERROR(__xludf.DUMMYFUNCTION("""COMPUTED_VALUE"""),"UNIVERSIDAD ESAN")</f>
        <v>UNIVERSIDAD ESAN</v>
      </c>
      <c r="D1623" s="25" t="str">
        <f ca="1">IFERROR(__xludf.DUMMYFUNCTION("""COMPUTED_VALUE"""),"SEDE CENTRAL")</f>
        <v>SEDE CENTRAL</v>
      </c>
      <c r="E1623" s="25" t="str">
        <f ca="1">IFERROR(__xludf.DUMMYFUNCTION("""COMPUTED_VALUE"""),"LIMA")</f>
        <v>LIMA</v>
      </c>
      <c r="F1623" s="25"/>
      <c r="G1623" s="25"/>
      <c r="H1623" s="25"/>
      <c r="I1623" s="25" t="str">
        <f ca="1">IFERROR(__xludf.DUMMYFUNCTION("""COMPUTED_VALUE"""),"Prioridad 2")</f>
        <v>Prioridad 2</v>
      </c>
      <c r="J1623" s="43" t="s">
        <v>261</v>
      </c>
    </row>
    <row r="1624" spans="2:10">
      <c r="B1624" s="25" t="str">
        <f ca="1">IFERROR(__xludf.DUMMYFUNCTION("""COMPUTED_VALUE"""),"UNIVERSIDAD PRIVADA")</f>
        <v>UNIVERSIDAD PRIVADA</v>
      </c>
      <c r="C1624" s="25" t="str">
        <f ca="1">IFERROR(__xludf.DUMMYFUNCTION("""COMPUTED_VALUE"""),"UNIVERSIDAD FEMENINA DEL SAGRADO CORAZÓN")</f>
        <v>UNIVERSIDAD FEMENINA DEL SAGRADO CORAZÓN</v>
      </c>
      <c r="D1624" s="25" t="str">
        <f ca="1">IFERROR(__xludf.DUMMYFUNCTION("""COMPUTED_VALUE"""),"SEDE CENTRAL")</f>
        <v>SEDE CENTRAL</v>
      </c>
      <c r="E1624" s="25" t="str">
        <f ca="1">IFERROR(__xludf.DUMMYFUNCTION("""COMPUTED_VALUE"""),"LIMA")</f>
        <v>LIMA</v>
      </c>
      <c r="F1624" s="25"/>
      <c r="G1624" s="25"/>
      <c r="H1624" s="25"/>
      <c r="I1624" s="25" t="str">
        <f ca="1">IFERROR(__xludf.DUMMYFUNCTION("""COMPUTED_VALUE"""),"Prioridad 3")</f>
        <v>Prioridad 3</v>
      </c>
      <c r="J1624" s="43" t="s">
        <v>261</v>
      </c>
    </row>
    <row r="1625" spans="2:10">
      <c r="B1625" s="25" t="str">
        <f ca="1">IFERROR(__xludf.DUMMYFUNCTION("""COMPUTED_VALUE"""),"UNIVERSIDAD PRIVADA")</f>
        <v>UNIVERSIDAD PRIVADA</v>
      </c>
      <c r="C1625" s="25" t="str">
        <f ca="1">IFERROR(__xludf.DUMMYFUNCTION("""COMPUTED_VALUE"""),"UNIVERSIDAD JAIME BAUSATE Y MEZA")</f>
        <v>UNIVERSIDAD JAIME BAUSATE Y MEZA</v>
      </c>
      <c r="D1625" s="25" t="str">
        <f ca="1">IFERROR(__xludf.DUMMYFUNCTION("""COMPUTED_VALUE"""),"SEDE CENTRAL")</f>
        <v>SEDE CENTRAL</v>
      </c>
      <c r="E1625" s="25" t="str">
        <f ca="1">IFERROR(__xludf.DUMMYFUNCTION("""COMPUTED_VALUE"""),"LIMA")</f>
        <v>LIMA</v>
      </c>
      <c r="F1625" s="25"/>
      <c r="G1625" s="25"/>
      <c r="H1625" s="25"/>
      <c r="I1625" s="25" t="str">
        <f ca="1">IFERROR(__xludf.DUMMYFUNCTION("""COMPUTED_VALUE"""),"Prioridad 3")</f>
        <v>Prioridad 3</v>
      </c>
      <c r="J1625" s="43" t="s">
        <v>261</v>
      </c>
    </row>
    <row r="1626" spans="2:10">
      <c r="B1626" s="25" t="str">
        <f ca="1">IFERROR(__xludf.DUMMYFUNCTION("""COMPUTED_VALUE"""),"UNIVERSIDAD PRIVADA")</f>
        <v>UNIVERSIDAD PRIVADA</v>
      </c>
      <c r="C1626" s="25" t="str">
        <f ca="1">IFERROR(__xludf.DUMMYFUNCTION("""COMPUTED_VALUE"""),"UNIVERSIDAD LE CORDON BLEU S.A.C.")</f>
        <v>UNIVERSIDAD LE CORDON BLEU S.A.C.</v>
      </c>
      <c r="D1626" s="25" t="str">
        <f ca="1">IFERROR(__xludf.DUMMYFUNCTION("""COMPUTED_VALUE"""),"SEDE CENTRAL")</f>
        <v>SEDE CENTRAL</v>
      </c>
      <c r="E1626" s="25" t="str">
        <f ca="1">IFERROR(__xludf.DUMMYFUNCTION("""COMPUTED_VALUE"""),"LIMA")</f>
        <v>LIMA</v>
      </c>
      <c r="F1626" s="25"/>
      <c r="G1626" s="25"/>
      <c r="H1626" s="25"/>
      <c r="I1626" s="25" t="str">
        <f ca="1">IFERROR(__xludf.DUMMYFUNCTION("""COMPUTED_VALUE"""),"Prioridad 3")</f>
        <v>Prioridad 3</v>
      </c>
      <c r="J1626" s="43" t="s">
        <v>261</v>
      </c>
    </row>
    <row r="1627" spans="2:10">
      <c r="B1627" s="25" t="str">
        <f ca="1">IFERROR(__xludf.DUMMYFUNCTION("""COMPUTED_VALUE"""),"MUNICIPALIDAD DISTRITAL")</f>
        <v>MUNICIPALIDAD DISTRITAL</v>
      </c>
      <c r="C1627" s="25" t="str">
        <f ca="1">IFERROR(__xludf.DUMMYFUNCTION("""COMPUTED_VALUE"""),"MUNICIPALIDAD DISTRITAL DE TICLACAYAN")</f>
        <v>MUNICIPALIDAD DISTRITAL DE TICLACAYAN</v>
      </c>
      <c r="D1627" s="25" t="str">
        <f ca="1">IFERROR(__xludf.DUMMYFUNCTION("""COMPUTED_VALUE"""),"JUNÍN")</f>
        <v>JUNÍN</v>
      </c>
      <c r="E1627" s="25" t="str">
        <f ca="1">IFERROR(__xludf.DUMMYFUNCTION("""COMPUTED_VALUE"""),"PASCO")</f>
        <v>PASCO</v>
      </c>
      <c r="F1627" s="25" t="str">
        <f ca="1">IFERROR(__xludf.DUMMYFUNCTION("""COMPUTED_VALUE"""),"PASCO")</f>
        <v>PASCO</v>
      </c>
      <c r="G1627" s="25" t="str">
        <f ca="1">IFERROR(__xludf.DUMMYFUNCTION("""COMPUTED_VALUE"""),"TICLACAYAN")</f>
        <v>TICLACAYAN</v>
      </c>
      <c r="H1627" s="25" t="str">
        <f ca="1">IFERROR(__xludf.DUMMYFUNCTION("""COMPUTED_VALUE"""),"RURAL")</f>
        <v>RURAL</v>
      </c>
      <c r="I1627" s="25" t="str">
        <f ca="1">IFERROR(__xludf.DUMMYFUNCTION("""COMPUTED_VALUE"""),"Prioridad 4")</f>
        <v>Prioridad 4</v>
      </c>
      <c r="J1627" s="43" t="s">
        <v>261</v>
      </c>
    </row>
    <row r="1628" spans="2:10">
      <c r="B1628" s="25" t="str">
        <f ca="1">IFERROR(__xludf.DUMMYFUNCTION("""COMPUTED_VALUE"""),"MUNICIPALIDAD DISTRITAL")</f>
        <v>MUNICIPALIDAD DISTRITAL</v>
      </c>
      <c r="C1628" s="25" t="str">
        <f ca="1">IFERROR(__xludf.DUMMYFUNCTION("""COMPUTED_VALUE"""),"MUNICIPALIDAD DISTRITAL DE TINYAHUARCO")</f>
        <v>MUNICIPALIDAD DISTRITAL DE TINYAHUARCO</v>
      </c>
      <c r="D1628" s="25" t="str">
        <f ca="1">IFERROR(__xludf.DUMMYFUNCTION("""COMPUTED_VALUE"""),"JUNÍN")</f>
        <v>JUNÍN</v>
      </c>
      <c r="E1628" s="25" t="str">
        <f ca="1">IFERROR(__xludf.DUMMYFUNCTION("""COMPUTED_VALUE"""),"PASCO")</f>
        <v>PASCO</v>
      </c>
      <c r="F1628" s="25" t="str">
        <f ca="1">IFERROR(__xludf.DUMMYFUNCTION("""COMPUTED_VALUE"""),"PASCO")</f>
        <v>PASCO</v>
      </c>
      <c r="G1628" s="25" t="str">
        <f ca="1">IFERROR(__xludf.DUMMYFUNCTION("""COMPUTED_VALUE"""),"TINYAHUARCO")</f>
        <v>TINYAHUARCO</v>
      </c>
      <c r="H1628" s="25" t="str">
        <f ca="1">IFERROR(__xludf.DUMMYFUNCTION("""COMPUTED_VALUE"""),"URBANO")</f>
        <v>URBANO</v>
      </c>
      <c r="I1628" s="25" t="str">
        <f ca="1">IFERROR(__xludf.DUMMYFUNCTION("""COMPUTED_VALUE"""),"Prioridad 1")</f>
        <v>Prioridad 1</v>
      </c>
      <c r="J1628" s="43" t="s">
        <v>261</v>
      </c>
    </row>
    <row r="1629" spans="2:10">
      <c r="B1629" s="25" t="str">
        <f ca="1">IFERROR(__xludf.DUMMYFUNCTION("""COMPUTED_VALUE"""),"MUNICIPALIDAD DISTRITAL")</f>
        <v>MUNICIPALIDAD DISTRITAL</v>
      </c>
      <c r="C1629" s="25" t="str">
        <f ca="1">IFERROR(__xludf.DUMMYFUNCTION("""COMPUTED_VALUE"""),"MUNICIPALIDAD DISTRITAL DE VICCO")</f>
        <v>MUNICIPALIDAD DISTRITAL DE VICCO</v>
      </c>
      <c r="D1629" s="25" t="str">
        <f ca="1">IFERROR(__xludf.DUMMYFUNCTION("""COMPUTED_VALUE"""),"JUNÍN")</f>
        <v>JUNÍN</v>
      </c>
      <c r="E1629" s="25" t="str">
        <f ca="1">IFERROR(__xludf.DUMMYFUNCTION("""COMPUTED_VALUE"""),"PASCO")</f>
        <v>PASCO</v>
      </c>
      <c r="F1629" s="25" t="str">
        <f ca="1">IFERROR(__xludf.DUMMYFUNCTION("""COMPUTED_VALUE"""),"PASCO")</f>
        <v>PASCO</v>
      </c>
      <c r="G1629" s="25" t="str">
        <f ca="1">IFERROR(__xludf.DUMMYFUNCTION("""COMPUTED_VALUE"""),"VICCO")</f>
        <v>VICCO</v>
      </c>
      <c r="H1629" s="25" t="str">
        <f ca="1">IFERROR(__xludf.DUMMYFUNCTION("""COMPUTED_VALUE"""),"URBANO")</f>
        <v>URBANO</v>
      </c>
      <c r="I1629" s="25" t="str">
        <f ca="1">IFERROR(__xludf.DUMMYFUNCTION("""COMPUTED_VALUE"""),"Prioridad 1")</f>
        <v>Prioridad 1</v>
      </c>
      <c r="J1629" s="43" t="s">
        <v>261</v>
      </c>
    </row>
    <row r="1630" spans="2:10">
      <c r="B1630" s="25" t="str">
        <f ca="1">IFERROR(__xludf.DUMMYFUNCTION("""COMPUTED_VALUE"""),"MUNICIPALIDAD DISTRITAL")</f>
        <v>MUNICIPALIDAD DISTRITAL</v>
      </c>
      <c r="C1630" s="25" t="str">
        <f ca="1">IFERROR(__xludf.DUMMYFUNCTION("""COMPUTED_VALUE"""),"MUNICIPALIDAD DISTRITAL DE YANACANCHA EN PASCO")</f>
        <v>MUNICIPALIDAD DISTRITAL DE YANACANCHA EN PASCO</v>
      </c>
      <c r="D1630" s="25" t="str">
        <f ca="1">IFERROR(__xludf.DUMMYFUNCTION("""COMPUTED_VALUE"""),"JUNÍN")</f>
        <v>JUNÍN</v>
      </c>
      <c r="E1630" s="25" t="str">
        <f ca="1">IFERROR(__xludf.DUMMYFUNCTION("""COMPUTED_VALUE"""),"PASCO")</f>
        <v>PASCO</v>
      </c>
      <c r="F1630" s="25" t="str">
        <f ca="1">IFERROR(__xludf.DUMMYFUNCTION("""COMPUTED_VALUE"""),"PASCO")</f>
        <v>PASCO</v>
      </c>
      <c r="G1630" s="25" t="str">
        <f ca="1">IFERROR(__xludf.DUMMYFUNCTION("""COMPUTED_VALUE"""),"YANACANCHA")</f>
        <v>YANACANCHA</v>
      </c>
      <c r="H1630" s="25" t="str">
        <f ca="1">IFERROR(__xludf.DUMMYFUNCTION("""COMPUTED_VALUE"""),"URBANO")</f>
        <v>URBANO</v>
      </c>
      <c r="I1630" s="25" t="str">
        <f ca="1">IFERROR(__xludf.DUMMYFUNCTION("""COMPUTED_VALUE"""),"Prioridad 1")</f>
        <v>Prioridad 1</v>
      </c>
      <c r="J1630" s="43" t="s">
        <v>261</v>
      </c>
    </row>
    <row r="1631" spans="2:10">
      <c r="B1631" s="25" t="str">
        <f ca="1">IFERROR(__xludf.DUMMYFUNCTION("""COMPUTED_VALUE"""),"MUNICIPALIDAD PROVINCIAL")</f>
        <v>MUNICIPALIDAD PROVINCIAL</v>
      </c>
      <c r="C1631" s="25" t="str">
        <f ca="1">IFERROR(__xludf.DUMMYFUNCTION("""COMPUTED_VALUE"""),"MUNICIPALIDAD PROVINCIAL DE AYABACA")</f>
        <v>MUNICIPALIDAD PROVINCIAL DE AYABACA</v>
      </c>
      <c r="D1631" s="25" t="str">
        <f ca="1">IFERROR(__xludf.DUMMYFUNCTION("""COMPUTED_VALUE"""),"PIURA")</f>
        <v>PIURA</v>
      </c>
      <c r="E1631" s="25" t="str">
        <f ca="1">IFERROR(__xludf.DUMMYFUNCTION("""COMPUTED_VALUE"""),"PIURA")</f>
        <v>PIURA</v>
      </c>
      <c r="F1631" s="25" t="str">
        <f ca="1">IFERROR(__xludf.DUMMYFUNCTION("""COMPUTED_VALUE"""),"AYABACA")</f>
        <v>AYABACA</v>
      </c>
      <c r="G1631" s="25" t="str">
        <f ca="1">IFERROR(__xludf.DUMMYFUNCTION("""COMPUTED_VALUE"""),"AYABACA")</f>
        <v>AYABACA</v>
      </c>
      <c r="H1631" s="25" t="str">
        <f ca="1">IFERROR(__xludf.DUMMYFUNCTION("""COMPUTED_VALUE"""),"RURAL")</f>
        <v>RURAL</v>
      </c>
      <c r="I1631" s="25" t="str">
        <f ca="1">IFERROR(__xludf.DUMMYFUNCTION("""COMPUTED_VALUE"""),"Prioridad 1")</f>
        <v>Prioridad 1</v>
      </c>
      <c r="J1631" s="43" t="s">
        <v>261</v>
      </c>
    </row>
    <row r="1632" spans="2:10">
      <c r="B1632" s="25" t="str">
        <f ca="1">IFERROR(__xludf.DUMMYFUNCTION("""COMPUTED_VALUE"""),"MUNICIPALIDAD DISTRITAL")</f>
        <v>MUNICIPALIDAD DISTRITAL</v>
      </c>
      <c r="C1632" s="25" t="str">
        <f ca="1">IFERROR(__xludf.DUMMYFUNCTION("""COMPUTED_VALUE"""),"MUNICIPALIDAD DISTRITAL DE FRIAS")</f>
        <v>MUNICIPALIDAD DISTRITAL DE FRIAS</v>
      </c>
      <c r="D1632" s="25" t="str">
        <f ca="1">IFERROR(__xludf.DUMMYFUNCTION("""COMPUTED_VALUE"""),"PIURA")</f>
        <v>PIURA</v>
      </c>
      <c r="E1632" s="25" t="str">
        <f ca="1">IFERROR(__xludf.DUMMYFUNCTION("""COMPUTED_VALUE"""),"PIURA")</f>
        <v>PIURA</v>
      </c>
      <c r="F1632" s="25" t="str">
        <f ca="1">IFERROR(__xludf.DUMMYFUNCTION("""COMPUTED_VALUE"""),"AYABACA")</f>
        <v>AYABACA</v>
      </c>
      <c r="G1632" s="25" t="str">
        <f ca="1">IFERROR(__xludf.DUMMYFUNCTION("""COMPUTED_VALUE"""),"FRIAS")</f>
        <v>FRIAS</v>
      </c>
      <c r="H1632" s="25" t="str">
        <f ca="1">IFERROR(__xludf.DUMMYFUNCTION("""COMPUTED_VALUE"""),"RURAL")</f>
        <v>RURAL</v>
      </c>
      <c r="I1632" s="25" t="str">
        <f ca="1">IFERROR(__xludf.DUMMYFUNCTION("""COMPUTED_VALUE"""),"Prioridad 4")</f>
        <v>Prioridad 4</v>
      </c>
      <c r="J1632" s="43" t="s">
        <v>261</v>
      </c>
    </row>
    <row r="1633" spans="2:10">
      <c r="B1633" s="25" t="str">
        <f ca="1">IFERROR(__xludf.DUMMYFUNCTION("""COMPUTED_VALUE"""),"MUNICIPALIDAD DISTRITAL")</f>
        <v>MUNICIPALIDAD DISTRITAL</v>
      </c>
      <c r="C1633" s="25" t="str">
        <f ca="1">IFERROR(__xludf.DUMMYFUNCTION("""COMPUTED_VALUE"""),"MUNICIPALIDAD DISTRITAL DE JILILI")</f>
        <v>MUNICIPALIDAD DISTRITAL DE JILILI</v>
      </c>
      <c r="D1633" s="25" t="str">
        <f ca="1">IFERROR(__xludf.DUMMYFUNCTION("""COMPUTED_VALUE"""),"PIURA")</f>
        <v>PIURA</v>
      </c>
      <c r="E1633" s="25" t="str">
        <f ca="1">IFERROR(__xludf.DUMMYFUNCTION("""COMPUTED_VALUE"""),"PIURA")</f>
        <v>PIURA</v>
      </c>
      <c r="F1633" s="25" t="str">
        <f ca="1">IFERROR(__xludf.DUMMYFUNCTION("""COMPUTED_VALUE"""),"AYABACA")</f>
        <v>AYABACA</v>
      </c>
      <c r="G1633" s="25" t="str">
        <f ca="1">IFERROR(__xludf.DUMMYFUNCTION("""COMPUTED_VALUE"""),"JILILI")</f>
        <v>JILILI</v>
      </c>
      <c r="H1633" s="25" t="str">
        <f ca="1">IFERROR(__xludf.DUMMYFUNCTION("""COMPUTED_VALUE"""),"RURAL")</f>
        <v>RURAL</v>
      </c>
      <c r="I1633" s="25" t="str">
        <f ca="1">IFERROR(__xludf.DUMMYFUNCTION("""COMPUTED_VALUE"""),"Prioridad 5")</f>
        <v>Prioridad 5</v>
      </c>
      <c r="J1633" s="43" t="s">
        <v>261</v>
      </c>
    </row>
    <row r="1634" spans="2:10">
      <c r="B1634" s="25" t="str">
        <f ca="1">IFERROR(__xludf.DUMMYFUNCTION("""COMPUTED_VALUE"""),"MUNICIPALIDAD DISTRITAL")</f>
        <v>MUNICIPALIDAD DISTRITAL</v>
      </c>
      <c r="C1634" s="25" t="str">
        <f ca="1">IFERROR(__xludf.DUMMYFUNCTION("""COMPUTED_VALUE"""),"MUNICIPALIDAD DISTRITAL DE LAGUNAS EN AYABACA")</f>
        <v>MUNICIPALIDAD DISTRITAL DE LAGUNAS EN AYABACA</v>
      </c>
      <c r="D1634" s="25" t="str">
        <f ca="1">IFERROR(__xludf.DUMMYFUNCTION("""COMPUTED_VALUE"""),"PIURA")</f>
        <v>PIURA</v>
      </c>
      <c r="E1634" s="25" t="str">
        <f ca="1">IFERROR(__xludf.DUMMYFUNCTION("""COMPUTED_VALUE"""),"PIURA")</f>
        <v>PIURA</v>
      </c>
      <c r="F1634" s="25" t="str">
        <f ca="1">IFERROR(__xludf.DUMMYFUNCTION("""COMPUTED_VALUE"""),"AYABACA")</f>
        <v>AYABACA</v>
      </c>
      <c r="G1634" s="25" t="str">
        <f ca="1">IFERROR(__xludf.DUMMYFUNCTION("""COMPUTED_VALUE"""),"LAGUNAS")</f>
        <v>LAGUNAS</v>
      </c>
      <c r="H1634" s="25" t="str">
        <f ca="1">IFERROR(__xludf.DUMMYFUNCTION("""COMPUTED_VALUE"""),"RURAL")</f>
        <v>RURAL</v>
      </c>
      <c r="I1634" s="25" t="str">
        <f ca="1">IFERROR(__xludf.DUMMYFUNCTION("""COMPUTED_VALUE"""),"Prioridad 5")</f>
        <v>Prioridad 5</v>
      </c>
      <c r="J1634" s="43" t="s">
        <v>261</v>
      </c>
    </row>
    <row r="1635" spans="2:10">
      <c r="B1635" s="25" t="str">
        <f ca="1">IFERROR(__xludf.DUMMYFUNCTION("""COMPUTED_VALUE"""),"MUNICIPALIDAD DISTRITAL")</f>
        <v>MUNICIPALIDAD DISTRITAL</v>
      </c>
      <c r="C1635" s="25" t="str">
        <f ca="1">IFERROR(__xludf.DUMMYFUNCTION("""COMPUTED_VALUE"""),"MUNICIPALIDAD DISTRITAL DE MONTERO")</f>
        <v>MUNICIPALIDAD DISTRITAL DE MONTERO</v>
      </c>
      <c r="D1635" s="25" t="str">
        <f ca="1">IFERROR(__xludf.DUMMYFUNCTION("""COMPUTED_VALUE"""),"PIURA")</f>
        <v>PIURA</v>
      </c>
      <c r="E1635" s="25" t="str">
        <f ca="1">IFERROR(__xludf.DUMMYFUNCTION("""COMPUTED_VALUE"""),"PIURA")</f>
        <v>PIURA</v>
      </c>
      <c r="F1635" s="25" t="str">
        <f ca="1">IFERROR(__xludf.DUMMYFUNCTION("""COMPUTED_VALUE"""),"AYABACA")</f>
        <v>AYABACA</v>
      </c>
      <c r="G1635" s="25" t="str">
        <f ca="1">IFERROR(__xludf.DUMMYFUNCTION("""COMPUTED_VALUE"""),"MONTERO")</f>
        <v>MONTERO</v>
      </c>
      <c r="H1635" s="25" t="str">
        <f ca="1">IFERROR(__xludf.DUMMYFUNCTION("""COMPUTED_VALUE"""),"RURAL")</f>
        <v>RURAL</v>
      </c>
      <c r="I1635" s="25" t="str">
        <f ca="1">IFERROR(__xludf.DUMMYFUNCTION("""COMPUTED_VALUE"""),"Prioridad 3")</f>
        <v>Prioridad 3</v>
      </c>
      <c r="J1635" s="43" t="s">
        <v>261</v>
      </c>
    </row>
    <row r="1636" spans="2:10">
      <c r="B1636" s="25" t="str">
        <f ca="1">IFERROR(__xludf.DUMMYFUNCTION("""COMPUTED_VALUE"""),"MUNICIPALIDAD DISTRITAL")</f>
        <v>MUNICIPALIDAD DISTRITAL</v>
      </c>
      <c r="C1636" s="25" t="str">
        <f ca="1">IFERROR(__xludf.DUMMYFUNCTION("""COMPUTED_VALUE"""),"MUNICIPALIDAD DISTRITAL DE PACAIPAMPA")</f>
        <v>MUNICIPALIDAD DISTRITAL DE PACAIPAMPA</v>
      </c>
      <c r="D1636" s="25" t="str">
        <f ca="1">IFERROR(__xludf.DUMMYFUNCTION("""COMPUTED_VALUE"""),"PIURA")</f>
        <v>PIURA</v>
      </c>
      <c r="E1636" s="25" t="str">
        <f ca="1">IFERROR(__xludf.DUMMYFUNCTION("""COMPUTED_VALUE"""),"PIURA")</f>
        <v>PIURA</v>
      </c>
      <c r="F1636" s="25" t="str">
        <f ca="1">IFERROR(__xludf.DUMMYFUNCTION("""COMPUTED_VALUE"""),"AYABACA")</f>
        <v>AYABACA</v>
      </c>
      <c r="G1636" s="25" t="str">
        <f ca="1">IFERROR(__xludf.DUMMYFUNCTION("""COMPUTED_VALUE"""),"PACAIPAMPA")</f>
        <v>PACAIPAMPA</v>
      </c>
      <c r="H1636" s="25" t="str">
        <f ca="1">IFERROR(__xludf.DUMMYFUNCTION("""COMPUTED_VALUE"""),"RURAL")</f>
        <v>RURAL</v>
      </c>
      <c r="I1636" s="25" t="str">
        <f ca="1">IFERROR(__xludf.DUMMYFUNCTION("""COMPUTED_VALUE"""),"Prioridad 4")</f>
        <v>Prioridad 4</v>
      </c>
      <c r="J1636" s="43" t="s">
        <v>261</v>
      </c>
    </row>
    <row r="1637" spans="2:10">
      <c r="B1637" s="25" t="str">
        <f ca="1">IFERROR(__xludf.DUMMYFUNCTION("""COMPUTED_VALUE"""),"MUNICIPALIDAD DISTRITAL")</f>
        <v>MUNICIPALIDAD DISTRITAL</v>
      </c>
      <c r="C1637" s="25" t="str">
        <f ca="1">IFERROR(__xludf.DUMMYFUNCTION("""COMPUTED_VALUE"""),"MUNICIPALIDAD DISTRITAL DE PAIMAS")</f>
        <v>MUNICIPALIDAD DISTRITAL DE PAIMAS</v>
      </c>
      <c r="D1637" s="25" t="str">
        <f ca="1">IFERROR(__xludf.DUMMYFUNCTION("""COMPUTED_VALUE"""),"PIURA")</f>
        <v>PIURA</v>
      </c>
      <c r="E1637" s="25" t="str">
        <f ca="1">IFERROR(__xludf.DUMMYFUNCTION("""COMPUTED_VALUE"""),"PIURA")</f>
        <v>PIURA</v>
      </c>
      <c r="F1637" s="25" t="str">
        <f ca="1">IFERROR(__xludf.DUMMYFUNCTION("""COMPUTED_VALUE"""),"AYABACA")</f>
        <v>AYABACA</v>
      </c>
      <c r="G1637" s="25" t="str">
        <f ca="1">IFERROR(__xludf.DUMMYFUNCTION("""COMPUTED_VALUE"""),"PAIMAS")</f>
        <v>PAIMAS</v>
      </c>
      <c r="H1637" s="25" t="str">
        <f ca="1">IFERROR(__xludf.DUMMYFUNCTION("""COMPUTED_VALUE"""),"RURAL")</f>
        <v>RURAL</v>
      </c>
      <c r="I1637" s="25" t="str">
        <f ca="1">IFERROR(__xludf.DUMMYFUNCTION("""COMPUTED_VALUE"""),"Prioridad 3")</f>
        <v>Prioridad 3</v>
      </c>
      <c r="J1637" s="43" t="s">
        <v>261</v>
      </c>
    </row>
    <row r="1638" spans="2:10">
      <c r="B1638" s="25" t="str">
        <f ca="1">IFERROR(__xludf.DUMMYFUNCTION("""COMPUTED_VALUE"""),"MUNICIPALIDAD DISTRITAL")</f>
        <v>MUNICIPALIDAD DISTRITAL</v>
      </c>
      <c r="C1638" s="25" t="str">
        <f ca="1">IFERROR(__xludf.DUMMYFUNCTION("""COMPUTED_VALUE"""),"MUNICIPALIDAD DISTRITAL DE SAPILLICA")</f>
        <v>MUNICIPALIDAD DISTRITAL DE SAPILLICA</v>
      </c>
      <c r="D1638" s="25" t="str">
        <f ca="1">IFERROR(__xludf.DUMMYFUNCTION("""COMPUTED_VALUE"""),"PIURA")</f>
        <v>PIURA</v>
      </c>
      <c r="E1638" s="25" t="str">
        <f ca="1">IFERROR(__xludf.DUMMYFUNCTION("""COMPUTED_VALUE"""),"PIURA")</f>
        <v>PIURA</v>
      </c>
      <c r="F1638" s="25" t="str">
        <f ca="1">IFERROR(__xludf.DUMMYFUNCTION("""COMPUTED_VALUE"""),"AYABACA")</f>
        <v>AYABACA</v>
      </c>
      <c r="G1638" s="25" t="str">
        <f ca="1">IFERROR(__xludf.DUMMYFUNCTION("""COMPUTED_VALUE"""),"SAPILLICA")</f>
        <v>SAPILLICA</v>
      </c>
      <c r="H1638" s="25" t="str">
        <f ca="1">IFERROR(__xludf.DUMMYFUNCTION("""COMPUTED_VALUE"""),"RURAL")</f>
        <v>RURAL</v>
      </c>
      <c r="I1638" s="25" t="str">
        <f ca="1">IFERROR(__xludf.DUMMYFUNCTION("""COMPUTED_VALUE"""),"Prioridad 5")</f>
        <v>Prioridad 5</v>
      </c>
      <c r="J1638" s="43" t="s">
        <v>261</v>
      </c>
    </row>
    <row r="1639" spans="2:10">
      <c r="B1639" s="25" t="str">
        <f ca="1">IFERROR(__xludf.DUMMYFUNCTION("""COMPUTED_VALUE"""),"MUNICIPALIDAD DISTRITAL")</f>
        <v>MUNICIPALIDAD DISTRITAL</v>
      </c>
      <c r="C1639" s="25" t="str">
        <f ca="1">IFERROR(__xludf.DUMMYFUNCTION("""COMPUTED_VALUE"""),"MUNICIPALIDAD DISTRITAL DE SICCHEZ")</f>
        <v>MUNICIPALIDAD DISTRITAL DE SICCHEZ</v>
      </c>
      <c r="D1639" s="25" t="str">
        <f ca="1">IFERROR(__xludf.DUMMYFUNCTION("""COMPUTED_VALUE"""),"PIURA")</f>
        <v>PIURA</v>
      </c>
      <c r="E1639" s="25" t="str">
        <f ca="1">IFERROR(__xludf.DUMMYFUNCTION("""COMPUTED_VALUE"""),"PIURA")</f>
        <v>PIURA</v>
      </c>
      <c r="F1639" s="25" t="str">
        <f ca="1">IFERROR(__xludf.DUMMYFUNCTION("""COMPUTED_VALUE"""),"AYABACA")</f>
        <v>AYABACA</v>
      </c>
      <c r="G1639" s="25" t="str">
        <f ca="1">IFERROR(__xludf.DUMMYFUNCTION("""COMPUTED_VALUE"""),"SICCHEZ")</f>
        <v>SICCHEZ</v>
      </c>
      <c r="H1639" s="25" t="str">
        <f ca="1">IFERROR(__xludf.DUMMYFUNCTION("""COMPUTED_VALUE"""),"RURAL")</f>
        <v>RURAL</v>
      </c>
      <c r="I1639" s="25" t="str">
        <f ca="1">IFERROR(__xludf.DUMMYFUNCTION("""COMPUTED_VALUE"""),"Prioridad 3")</f>
        <v>Prioridad 3</v>
      </c>
      <c r="J1639" s="43" t="s">
        <v>261</v>
      </c>
    </row>
    <row r="1640" spans="2:10">
      <c r="B1640" s="25" t="str">
        <f ca="1">IFERROR(__xludf.DUMMYFUNCTION("""COMPUTED_VALUE"""),"MUNICIPALIDAD DISTRITAL")</f>
        <v>MUNICIPALIDAD DISTRITAL</v>
      </c>
      <c r="C1640" s="25" t="str">
        <f ca="1">IFERROR(__xludf.DUMMYFUNCTION("""COMPUTED_VALUE"""),"MUNICIPALIDAD DISTRITAL DE SUYO")</f>
        <v>MUNICIPALIDAD DISTRITAL DE SUYO</v>
      </c>
      <c r="D1640" s="25" t="str">
        <f ca="1">IFERROR(__xludf.DUMMYFUNCTION("""COMPUTED_VALUE"""),"PIURA")</f>
        <v>PIURA</v>
      </c>
      <c r="E1640" s="25" t="str">
        <f ca="1">IFERROR(__xludf.DUMMYFUNCTION("""COMPUTED_VALUE"""),"PIURA")</f>
        <v>PIURA</v>
      </c>
      <c r="F1640" s="25" t="str">
        <f ca="1">IFERROR(__xludf.DUMMYFUNCTION("""COMPUTED_VALUE"""),"AYABACA")</f>
        <v>AYABACA</v>
      </c>
      <c r="G1640" s="25" t="str">
        <f ca="1">IFERROR(__xludf.DUMMYFUNCTION("""COMPUTED_VALUE"""),"SUYO")</f>
        <v>SUYO</v>
      </c>
      <c r="H1640" s="25" t="str">
        <f ca="1">IFERROR(__xludf.DUMMYFUNCTION("""COMPUTED_VALUE"""),"RURAL")</f>
        <v>RURAL</v>
      </c>
      <c r="I1640" s="25" t="str">
        <f ca="1">IFERROR(__xludf.DUMMYFUNCTION("""COMPUTED_VALUE"""),"Prioridad 3")</f>
        <v>Prioridad 3</v>
      </c>
      <c r="J1640" s="43" t="s">
        <v>261</v>
      </c>
    </row>
    <row r="1641" spans="2:10">
      <c r="B1641" s="25" t="str">
        <f ca="1">IFERROR(__xludf.DUMMYFUNCTION("""COMPUTED_VALUE"""),"MUNICIPALIDAD PROVINCIAL")</f>
        <v>MUNICIPALIDAD PROVINCIAL</v>
      </c>
      <c r="C1641" s="25" t="str">
        <f ca="1">IFERROR(__xludf.DUMMYFUNCTION("""COMPUTED_VALUE"""),"MUNICIPALIDAD PROVINCIAL DE HUANCABAMBA")</f>
        <v>MUNICIPALIDAD PROVINCIAL DE HUANCABAMBA</v>
      </c>
      <c r="D1641" s="25" t="str">
        <f ca="1">IFERROR(__xludf.DUMMYFUNCTION("""COMPUTED_VALUE"""),"PIURA")</f>
        <v>PIURA</v>
      </c>
      <c r="E1641" s="25" t="str">
        <f ca="1">IFERROR(__xludf.DUMMYFUNCTION("""COMPUTED_VALUE"""),"PIURA")</f>
        <v>PIURA</v>
      </c>
      <c r="F1641" s="25" t="str">
        <f ca="1">IFERROR(__xludf.DUMMYFUNCTION("""COMPUTED_VALUE"""),"HUANCABAMBA")</f>
        <v>HUANCABAMBA</v>
      </c>
      <c r="G1641" s="25" t="str">
        <f ca="1">IFERROR(__xludf.DUMMYFUNCTION("""COMPUTED_VALUE"""),"HUANCABAMBA")</f>
        <v>HUANCABAMBA</v>
      </c>
      <c r="H1641" s="25" t="str">
        <f ca="1">IFERROR(__xludf.DUMMYFUNCTION("""COMPUTED_VALUE"""),"RURAL")</f>
        <v>RURAL</v>
      </c>
      <c r="I1641" s="25" t="str">
        <f ca="1">IFERROR(__xludf.DUMMYFUNCTION("""COMPUTED_VALUE"""),"Prioridad 1")</f>
        <v>Prioridad 1</v>
      </c>
      <c r="J1641" s="43" t="s">
        <v>261</v>
      </c>
    </row>
    <row r="1642" spans="2:10">
      <c r="B1642" s="25" t="str">
        <f ca="1">IFERROR(__xludf.DUMMYFUNCTION("""COMPUTED_VALUE"""),"MUNICIPALIDAD DISTRITAL")</f>
        <v>MUNICIPALIDAD DISTRITAL</v>
      </c>
      <c r="C1642" s="25" t="str">
        <f ca="1">IFERROR(__xludf.DUMMYFUNCTION("""COMPUTED_VALUE"""),"MUNICIPALIDAD DISTRITAL DE CANCHAQUE")</f>
        <v>MUNICIPALIDAD DISTRITAL DE CANCHAQUE</v>
      </c>
      <c r="D1642" s="25" t="str">
        <f ca="1">IFERROR(__xludf.DUMMYFUNCTION("""COMPUTED_VALUE"""),"PIURA")</f>
        <v>PIURA</v>
      </c>
      <c r="E1642" s="25" t="str">
        <f ca="1">IFERROR(__xludf.DUMMYFUNCTION("""COMPUTED_VALUE"""),"PIURA")</f>
        <v>PIURA</v>
      </c>
      <c r="F1642" s="25" t="str">
        <f ca="1">IFERROR(__xludf.DUMMYFUNCTION("""COMPUTED_VALUE"""),"HUANCABAMBA")</f>
        <v>HUANCABAMBA</v>
      </c>
      <c r="G1642" s="25" t="str">
        <f ca="1">IFERROR(__xludf.DUMMYFUNCTION("""COMPUTED_VALUE"""),"CANCHAQUE")</f>
        <v>CANCHAQUE</v>
      </c>
      <c r="H1642" s="25" t="str">
        <f ca="1">IFERROR(__xludf.DUMMYFUNCTION("""COMPUTED_VALUE"""),"RURAL")</f>
        <v>RURAL</v>
      </c>
      <c r="I1642" s="25" t="str">
        <f ca="1">IFERROR(__xludf.DUMMYFUNCTION("""COMPUTED_VALUE"""),"Prioridad 3")</f>
        <v>Prioridad 3</v>
      </c>
      <c r="J1642" s="43" t="s">
        <v>261</v>
      </c>
    </row>
    <row r="1643" spans="2:10">
      <c r="B1643" s="25" t="str">
        <f ca="1">IFERROR(__xludf.DUMMYFUNCTION("""COMPUTED_VALUE"""),"MUNICIPALIDAD DISTRITAL")</f>
        <v>MUNICIPALIDAD DISTRITAL</v>
      </c>
      <c r="C1643" s="25" t="str">
        <f ca="1">IFERROR(__xludf.DUMMYFUNCTION("""COMPUTED_VALUE"""),"MUNICIPALIDAD DISTRITAL DE EL CARMEN DE LA FRONTERA")</f>
        <v>MUNICIPALIDAD DISTRITAL DE EL CARMEN DE LA FRONTERA</v>
      </c>
      <c r="D1643" s="25" t="str">
        <f ca="1">IFERROR(__xludf.DUMMYFUNCTION("""COMPUTED_VALUE"""),"PIURA")</f>
        <v>PIURA</v>
      </c>
      <c r="E1643" s="25" t="str">
        <f ca="1">IFERROR(__xludf.DUMMYFUNCTION("""COMPUTED_VALUE"""),"PIURA")</f>
        <v>PIURA</v>
      </c>
      <c r="F1643" s="25" t="str">
        <f ca="1">IFERROR(__xludf.DUMMYFUNCTION("""COMPUTED_VALUE"""),"HUANCABAMBA")</f>
        <v>HUANCABAMBA</v>
      </c>
      <c r="G1643" s="25" t="str">
        <f ca="1">IFERROR(__xludf.DUMMYFUNCTION("""COMPUTED_VALUE"""),"EL CARMEN DE LA FRONTERA")</f>
        <v>EL CARMEN DE LA FRONTERA</v>
      </c>
      <c r="H1643" s="25" t="str">
        <f ca="1">IFERROR(__xludf.DUMMYFUNCTION("""COMPUTED_VALUE"""),"RURAL")</f>
        <v>RURAL</v>
      </c>
      <c r="I1643" s="25" t="str">
        <f ca="1">IFERROR(__xludf.DUMMYFUNCTION("""COMPUTED_VALUE"""),"Prioridad 5")</f>
        <v>Prioridad 5</v>
      </c>
      <c r="J1643" s="43" t="s">
        <v>261</v>
      </c>
    </row>
    <row r="1644" spans="2:10">
      <c r="B1644" s="25" t="str">
        <f ca="1">IFERROR(__xludf.DUMMYFUNCTION("""COMPUTED_VALUE"""),"MUNICIPALIDAD DISTRITAL")</f>
        <v>MUNICIPALIDAD DISTRITAL</v>
      </c>
      <c r="C1644" s="25" t="str">
        <f ca="1">IFERROR(__xludf.DUMMYFUNCTION("""COMPUTED_VALUE"""),"MUNICIPALIDAD DISTRITAL DE HUARMACA")</f>
        <v>MUNICIPALIDAD DISTRITAL DE HUARMACA</v>
      </c>
      <c r="D1644" s="25" t="str">
        <f ca="1">IFERROR(__xludf.DUMMYFUNCTION("""COMPUTED_VALUE"""),"PIURA")</f>
        <v>PIURA</v>
      </c>
      <c r="E1644" s="25" t="str">
        <f ca="1">IFERROR(__xludf.DUMMYFUNCTION("""COMPUTED_VALUE"""),"PIURA")</f>
        <v>PIURA</v>
      </c>
      <c r="F1644" s="25" t="str">
        <f ca="1">IFERROR(__xludf.DUMMYFUNCTION("""COMPUTED_VALUE"""),"HUANCABAMBA")</f>
        <v>HUANCABAMBA</v>
      </c>
      <c r="G1644" s="25" t="str">
        <f ca="1">IFERROR(__xludf.DUMMYFUNCTION("""COMPUTED_VALUE"""),"HUARMACA")</f>
        <v>HUARMACA</v>
      </c>
      <c r="H1644" s="25" t="str">
        <f ca="1">IFERROR(__xludf.DUMMYFUNCTION("""COMPUTED_VALUE"""),"RURAL")</f>
        <v>RURAL</v>
      </c>
      <c r="I1644" s="25" t="str">
        <f ca="1">IFERROR(__xludf.DUMMYFUNCTION("""COMPUTED_VALUE"""),"Prioridad 2")</f>
        <v>Prioridad 2</v>
      </c>
      <c r="J1644" s="43" t="s">
        <v>261</v>
      </c>
    </row>
    <row r="1645" spans="2:10">
      <c r="B1645" s="25" t="str">
        <f ca="1">IFERROR(__xludf.DUMMYFUNCTION("""COMPUTED_VALUE"""),"MUNICIPALIDAD DISTRITAL")</f>
        <v>MUNICIPALIDAD DISTRITAL</v>
      </c>
      <c r="C1645" s="25" t="str">
        <f ca="1">IFERROR(__xludf.DUMMYFUNCTION("""COMPUTED_VALUE"""),"MUNICIPALIDAD DISTRITAL DE LALAQUIZ")</f>
        <v>MUNICIPALIDAD DISTRITAL DE LALAQUIZ</v>
      </c>
      <c r="D1645" s="25" t="str">
        <f ca="1">IFERROR(__xludf.DUMMYFUNCTION("""COMPUTED_VALUE"""),"PIURA")</f>
        <v>PIURA</v>
      </c>
      <c r="E1645" s="25" t="str">
        <f ca="1">IFERROR(__xludf.DUMMYFUNCTION("""COMPUTED_VALUE"""),"PIURA")</f>
        <v>PIURA</v>
      </c>
      <c r="F1645" s="25" t="str">
        <f ca="1">IFERROR(__xludf.DUMMYFUNCTION("""COMPUTED_VALUE"""),"HUANCABAMBA")</f>
        <v>HUANCABAMBA</v>
      </c>
      <c r="G1645" s="25" t="str">
        <f ca="1">IFERROR(__xludf.DUMMYFUNCTION("""COMPUTED_VALUE"""),"LALAQUIZ")</f>
        <v>LALAQUIZ</v>
      </c>
      <c r="H1645" s="25" t="str">
        <f ca="1">IFERROR(__xludf.DUMMYFUNCTION("""COMPUTED_VALUE"""),"RURAL")</f>
        <v>RURAL</v>
      </c>
      <c r="I1645" s="25" t="str">
        <f ca="1">IFERROR(__xludf.DUMMYFUNCTION("""COMPUTED_VALUE"""),"Prioridad 5")</f>
        <v>Prioridad 5</v>
      </c>
      <c r="J1645" s="43" t="s">
        <v>261</v>
      </c>
    </row>
    <row r="1646" spans="2:10">
      <c r="B1646" s="25" t="str">
        <f ca="1">IFERROR(__xludf.DUMMYFUNCTION("""COMPUTED_VALUE"""),"MUNICIPALIDAD DISTRITAL")</f>
        <v>MUNICIPALIDAD DISTRITAL</v>
      </c>
      <c r="C1646" s="25" t="str">
        <f ca="1">IFERROR(__xludf.DUMMYFUNCTION("""COMPUTED_VALUE"""),"MUNICIPALIDAD DISTRITAL DE SAN MIGUEL DE EL FAIQUE")</f>
        <v>MUNICIPALIDAD DISTRITAL DE SAN MIGUEL DE EL FAIQUE</v>
      </c>
      <c r="D1646" s="25" t="str">
        <f ca="1">IFERROR(__xludf.DUMMYFUNCTION("""COMPUTED_VALUE"""),"PIURA")</f>
        <v>PIURA</v>
      </c>
      <c r="E1646" s="25" t="str">
        <f ca="1">IFERROR(__xludf.DUMMYFUNCTION("""COMPUTED_VALUE"""),"PIURA")</f>
        <v>PIURA</v>
      </c>
      <c r="F1646" s="25" t="str">
        <f ca="1">IFERROR(__xludf.DUMMYFUNCTION("""COMPUTED_VALUE"""),"HUANCABAMBA")</f>
        <v>HUANCABAMBA</v>
      </c>
      <c r="G1646" s="25" t="str">
        <f ca="1">IFERROR(__xludf.DUMMYFUNCTION("""COMPUTED_VALUE"""),"SAN MIGUEL DE EL FAIQUE")</f>
        <v>SAN MIGUEL DE EL FAIQUE</v>
      </c>
      <c r="H1646" s="25" t="str">
        <f ca="1">IFERROR(__xludf.DUMMYFUNCTION("""COMPUTED_VALUE"""),"RURAL")</f>
        <v>RURAL</v>
      </c>
      <c r="I1646" s="25" t="str">
        <f ca="1">IFERROR(__xludf.DUMMYFUNCTION("""COMPUTED_VALUE"""),"Prioridad 2")</f>
        <v>Prioridad 2</v>
      </c>
      <c r="J1646" s="43" t="s">
        <v>261</v>
      </c>
    </row>
    <row r="1647" spans="2:10">
      <c r="B1647" s="25" t="str">
        <f ca="1">IFERROR(__xludf.DUMMYFUNCTION("""COMPUTED_VALUE"""),"MUNICIPALIDAD DISTRITAL")</f>
        <v>MUNICIPALIDAD DISTRITAL</v>
      </c>
      <c r="C1647" s="25" t="str">
        <f ca="1">IFERROR(__xludf.DUMMYFUNCTION("""COMPUTED_VALUE"""),"MUNICIPALIDAD DISTRITAL DE SONDOR")</f>
        <v>MUNICIPALIDAD DISTRITAL DE SONDOR</v>
      </c>
      <c r="D1647" s="25" t="str">
        <f ca="1">IFERROR(__xludf.DUMMYFUNCTION("""COMPUTED_VALUE"""),"PIURA")</f>
        <v>PIURA</v>
      </c>
      <c r="E1647" s="25" t="str">
        <f ca="1">IFERROR(__xludf.DUMMYFUNCTION("""COMPUTED_VALUE"""),"PIURA")</f>
        <v>PIURA</v>
      </c>
      <c r="F1647" s="25" t="str">
        <f ca="1">IFERROR(__xludf.DUMMYFUNCTION("""COMPUTED_VALUE"""),"HUANCABAMBA")</f>
        <v>HUANCABAMBA</v>
      </c>
      <c r="G1647" s="25" t="str">
        <f ca="1">IFERROR(__xludf.DUMMYFUNCTION("""COMPUTED_VALUE"""),"SONDOR")</f>
        <v>SONDOR</v>
      </c>
      <c r="H1647" s="25" t="str">
        <f ca="1">IFERROR(__xludf.DUMMYFUNCTION("""COMPUTED_VALUE"""),"RURAL")</f>
        <v>RURAL</v>
      </c>
      <c r="I1647" s="25" t="str">
        <f ca="1">IFERROR(__xludf.DUMMYFUNCTION("""COMPUTED_VALUE"""),"Prioridad 4")</f>
        <v>Prioridad 4</v>
      </c>
      <c r="J1647" s="43" t="s">
        <v>261</v>
      </c>
    </row>
    <row r="1648" spans="2:10">
      <c r="B1648" s="25" t="str">
        <f ca="1">IFERROR(__xludf.DUMMYFUNCTION("""COMPUTED_VALUE"""),"MUNICIPALIDAD DISTRITAL")</f>
        <v>MUNICIPALIDAD DISTRITAL</v>
      </c>
      <c r="C1648" s="25" t="str">
        <f ca="1">IFERROR(__xludf.DUMMYFUNCTION("""COMPUTED_VALUE"""),"MUNICIPALIDAD DISTRITAL DE SONDORILLO")</f>
        <v>MUNICIPALIDAD DISTRITAL DE SONDORILLO</v>
      </c>
      <c r="D1648" s="25" t="str">
        <f ca="1">IFERROR(__xludf.DUMMYFUNCTION("""COMPUTED_VALUE"""),"PIURA")</f>
        <v>PIURA</v>
      </c>
      <c r="E1648" s="25" t="str">
        <f ca="1">IFERROR(__xludf.DUMMYFUNCTION("""COMPUTED_VALUE"""),"PIURA")</f>
        <v>PIURA</v>
      </c>
      <c r="F1648" s="25" t="str">
        <f ca="1">IFERROR(__xludf.DUMMYFUNCTION("""COMPUTED_VALUE"""),"HUANCABAMBA")</f>
        <v>HUANCABAMBA</v>
      </c>
      <c r="G1648" s="25" t="str">
        <f ca="1">IFERROR(__xludf.DUMMYFUNCTION("""COMPUTED_VALUE"""),"SONDORILLO")</f>
        <v>SONDORILLO</v>
      </c>
      <c r="H1648" s="25" t="str">
        <f ca="1">IFERROR(__xludf.DUMMYFUNCTION("""COMPUTED_VALUE"""),"RURAL")</f>
        <v>RURAL</v>
      </c>
      <c r="I1648" s="25" t="str">
        <f ca="1">IFERROR(__xludf.DUMMYFUNCTION("""COMPUTED_VALUE"""),"Prioridad 4")</f>
        <v>Prioridad 4</v>
      </c>
      <c r="J1648" s="43" t="s">
        <v>261</v>
      </c>
    </row>
    <row r="1649" spans="2:10">
      <c r="B1649" s="25" t="str">
        <f ca="1">IFERROR(__xludf.DUMMYFUNCTION("""COMPUTED_VALUE"""),"MUNICIPALIDAD PROVINCIAL")</f>
        <v>MUNICIPALIDAD PROVINCIAL</v>
      </c>
      <c r="C1649" s="25" t="str">
        <f ca="1">IFERROR(__xludf.DUMMYFUNCTION("""COMPUTED_VALUE"""),"MUNICIPALIDAD PROVINCIAL DE MORROPON CHULUCANAS")</f>
        <v>MUNICIPALIDAD PROVINCIAL DE MORROPON CHULUCANAS</v>
      </c>
      <c r="D1649" s="25" t="str">
        <f ca="1">IFERROR(__xludf.DUMMYFUNCTION("""COMPUTED_VALUE"""),"PIURA")</f>
        <v>PIURA</v>
      </c>
      <c r="E1649" s="25" t="str">
        <f ca="1">IFERROR(__xludf.DUMMYFUNCTION("""COMPUTED_VALUE"""),"PIURA")</f>
        <v>PIURA</v>
      </c>
      <c r="F1649" s="25" t="str">
        <f ca="1">IFERROR(__xludf.DUMMYFUNCTION("""COMPUTED_VALUE"""),"MORROPON")</f>
        <v>MORROPON</v>
      </c>
      <c r="G1649" s="25" t="str">
        <f ca="1">IFERROR(__xludf.DUMMYFUNCTION("""COMPUTED_VALUE"""),"CHULUCANAS")</f>
        <v>CHULUCANAS</v>
      </c>
      <c r="H1649" s="25" t="str">
        <f ca="1">IFERROR(__xludf.DUMMYFUNCTION("""COMPUTED_VALUE"""),"URBANO")</f>
        <v>URBANO</v>
      </c>
      <c r="I1649" s="25" t="str">
        <f ca="1">IFERROR(__xludf.DUMMYFUNCTION("""COMPUTED_VALUE"""),"Prioridad 2")</f>
        <v>Prioridad 2</v>
      </c>
      <c r="J1649" s="43" t="s">
        <v>261</v>
      </c>
    </row>
    <row r="1650" spans="2:10">
      <c r="B1650" s="25" t="str">
        <f ca="1">IFERROR(__xludf.DUMMYFUNCTION("""COMPUTED_VALUE"""),"MUNICIPALIDAD DISTRITAL")</f>
        <v>MUNICIPALIDAD DISTRITAL</v>
      </c>
      <c r="C1650" s="25" t="str">
        <f ca="1">IFERROR(__xludf.DUMMYFUNCTION("""COMPUTED_VALUE"""),"MUNICIPALIDAD DISTRITAL DE BUENOS AIRES EN MORROPON")</f>
        <v>MUNICIPALIDAD DISTRITAL DE BUENOS AIRES EN MORROPON</v>
      </c>
      <c r="D1650" s="25" t="str">
        <f ca="1">IFERROR(__xludf.DUMMYFUNCTION("""COMPUTED_VALUE"""),"PIURA")</f>
        <v>PIURA</v>
      </c>
      <c r="E1650" s="25" t="str">
        <f ca="1">IFERROR(__xludf.DUMMYFUNCTION("""COMPUTED_VALUE"""),"PIURA")</f>
        <v>PIURA</v>
      </c>
      <c r="F1650" s="25" t="str">
        <f ca="1">IFERROR(__xludf.DUMMYFUNCTION("""COMPUTED_VALUE"""),"MORROPON")</f>
        <v>MORROPON</v>
      </c>
      <c r="G1650" s="25" t="str">
        <f ca="1">IFERROR(__xludf.DUMMYFUNCTION("""COMPUTED_VALUE"""),"BUENOS AIRES")</f>
        <v>BUENOS AIRES</v>
      </c>
      <c r="H1650" s="25" t="str">
        <f ca="1">IFERROR(__xludf.DUMMYFUNCTION("""COMPUTED_VALUE"""),"URBANO")</f>
        <v>URBANO</v>
      </c>
      <c r="I1650" s="25" t="str">
        <f ca="1">IFERROR(__xludf.DUMMYFUNCTION("""COMPUTED_VALUE"""),"Prioridad 2")</f>
        <v>Prioridad 2</v>
      </c>
      <c r="J1650" s="43" t="s">
        <v>261</v>
      </c>
    </row>
    <row r="1651" spans="2:10">
      <c r="B1651" s="25" t="str">
        <f ca="1">IFERROR(__xludf.DUMMYFUNCTION("""COMPUTED_VALUE"""),"MUNICIPALIDAD DISTRITAL")</f>
        <v>MUNICIPALIDAD DISTRITAL</v>
      </c>
      <c r="C1651" s="25" t="str">
        <f ca="1">IFERROR(__xludf.DUMMYFUNCTION("""COMPUTED_VALUE"""),"MUNICIPALIDAD DISTRITAL DE CHALACO")</f>
        <v>MUNICIPALIDAD DISTRITAL DE CHALACO</v>
      </c>
      <c r="D1651" s="25" t="str">
        <f ca="1">IFERROR(__xludf.DUMMYFUNCTION("""COMPUTED_VALUE"""),"PIURA")</f>
        <v>PIURA</v>
      </c>
      <c r="E1651" s="25" t="str">
        <f ca="1">IFERROR(__xludf.DUMMYFUNCTION("""COMPUTED_VALUE"""),"PIURA")</f>
        <v>PIURA</v>
      </c>
      <c r="F1651" s="25" t="str">
        <f ca="1">IFERROR(__xludf.DUMMYFUNCTION("""COMPUTED_VALUE"""),"MORROPON")</f>
        <v>MORROPON</v>
      </c>
      <c r="G1651" s="25" t="str">
        <f ca="1">IFERROR(__xludf.DUMMYFUNCTION("""COMPUTED_VALUE"""),"CHALACO")</f>
        <v>CHALACO</v>
      </c>
      <c r="H1651" s="25" t="str">
        <f ca="1">IFERROR(__xludf.DUMMYFUNCTION("""COMPUTED_VALUE"""),"RURAL")</f>
        <v>RURAL</v>
      </c>
      <c r="I1651" s="25" t="str">
        <f ca="1">IFERROR(__xludf.DUMMYFUNCTION("""COMPUTED_VALUE"""),"Prioridad 4")</f>
        <v>Prioridad 4</v>
      </c>
      <c r="J1651" s="43" t="s">
        <v>262</v>
      </c>
    </row>
    <row r="1652" spans="2:10">
      <c r="B1652" s="25" t="str">
        <f ca="1">IFERROR(__xludf.DUMMYFUNCTION("""COMPUTED_VALUE"""),"MUNICIPALIDAD DISTRITAL")</f>
        <v>MUNICIPALIDAD DISTRITAL</v>
      </c>
      <c r="C1652" s="25" t="str">
        <f ca="1">IFERROR(__xludf.DUMMYFUNCTION("""COMPUTED_VALUE"""),"MUNICIPALIDAD DISTRITAL DE LA MATANZA")</f>
        <v>MUNICIPALIDAD DISTRITAL DE LA MATANZA</v>
      </c>
      <c r="D1652" s="25" t="str">
        <f ca="1">IFERROR(__xludf.DUMMYFUNCTION("""COMPUTED_VALUE"""),"PIURA")</f>
        <v>PIURA</v>
      </c>
      <c r="E1652" s="25" t="str">
        <f ca="1">IFERROR(__xludf.DUMMYFUNCTION("""COMPUTED_VALUE"""),"PIURA")</f>
        <v>PIURA</v>
      </c>
      <c r="F1652" s="25" t="str">
        <f ca="1">IFERROR(__xludf.DUMMYFUNCTION("""COMPUTED_VALUE"""),"MORROPON")</f>
        <v>MORROPON</v>
      </c>
      <c r="G1652" s="25" t="str">
        <f ca="1">IFERROR(__xludf.DUMMYFUNCTION("""COMPUTED_VALUE"""),"LA MATANZA")</f>
        <v>LA MATANZA</v>
      </c>
      <c r="H1652" s="25" t="str">
        <f ca="1">IFERROR(__xludf.DUMMYFUNCTION("""COMPUTED_VALUE"""),"URBANO")</f>
        <v>URBANO</v>
      </c>
      <c r="I1652" s="25" t="str">
        <f ca="1">IFERROR(__xludf.DUMMYFUNCTION("""COMPUTED_VALUE"""),"Prioridad 2")</f>
        <v>Prioridad 2</v>
      </c>
      <c r="J1652" s="43" t="s">
        <v>262</v>
      </c>
    </row>
    <row r="1653" spans="2:10">
      <c r="B1653" s="25" t="str">
        <f ca="1">IFERROR(__xludf.DUMMYFUNCTION("""COMPUTED_VALUE"""),"MUNICIPALIDAD DISTRITAL")</f>
        <v>MUNICIPALIDAD DISTRITAL</v>
      </c>
      <c r="C1653" s="25" t="str">
        <f ca="1">IFERROR(__xludf.DUMMYFUNCTION("""COMPUTED_VALUE"""),"MUNICIPALIDAD DISTRITAL DE MORROPON")</f>
        <v>MUNICIPALIDAD DISTRITAL DE MORROPON</v>
      </c>
      <c r="D1653" s="25" t="str">
        <f ca="1">IFERROR(__xludf.DUMMYFUNCTION("""COMPUTED_VALUE"""),"PIURA")</f>
        <v>PIURA</v>
      </c>
      <c r="E1653" s="25" t="str">
        <f ca="1">IFERROR(__xludf.DUMMYFUNCTION("""COMPUTED_VALUE"""),"PIURA")</f>
        <v>PIURA</v>
      </c>
      <c r="F1653" s="25" t="str">
        <f ca="1">IFERROR(__xludf.DUMMYFUNCTION("""COMPUTED_VALUE"""),"MORROPON")</f>
        <v>MORROPON</v>
      </c>
      <c r="G1653" s="25" t="str">
        <f ca="1">IFERROR(__xludf.DUMMYFUNCTION("""COMPUTED_VALUE"""),"MORROPON")</f>
        <v>MORROPON</v>
      </c>
      <c r="H1653" s="25" t="str">
        <f ca="1">IFERROR(__xludf.DUMMYFUNCTION("""COMPUTED_VALUE"""),"URBANO")</f>
        <v>URBANO</v>
      </c>
      <c r="I1653" s="25" t="str">
        <f ca="1">IFERROR(__xludf.DUMMYFUNCTION("""COMPUTED_VALUE"""),"Prioridad 2")</f>
        <v>Prioridad 2</v>
      </c>
      <c r="J1653" s="43" t="s">
        <v>262</v>
      </c>
    </row>
    <row r="1654" spans="2:10">
      <c r="B1654" s="25" t="str">
        <f ca="1">IFERROR(__xludf.DUMMYFUNCTION("""COMPUTED_VALUE"""),"MUNICIPALIDAD DISTRITAL")</f>
        <v>MUNICIPALIDAD DISTRITAL</v>
      </c>
      <c r="C1654" s="25" t="str">
        <f ca="1">IFERROR(__xludf.DUMMYFUNCTION("""COMPUTED_VALUE"""),"MUNICIPALIDAD DISTRITAL DE SALITRAL EN MORROPON")</f>
        <v>MUNICIPALIDAD DISTRITAL DE SALITRAL EN MORROPON</v>
      </c>
      <c r="D1654" s="25" t="str">
        <f ca="1">IFERROR(__xludf.DUMMYFUNCTION("""COMPUTED_VALUE"""),"PIURA")</f>
        <v>PIURA</v>
      </c>
      <c r="E1654" s="25" t="str">
        <f ca="1">IFERROR(__xludf.DUMMYFUNCTION("""COMPUTED_VALUE"""),"PIURA")</f>
        <v>PIURA</v>
      </c>
      <c r="F1654" s="25" t="str">
        <f ca="1">IFERROR(__xludf.DUMMYFUNCTION("""COMPUTED_VALUE"""),"MORROPON")</f>
        <v>MORROPON</v>
      </c>
      <c r="G1654" s="25" t="str">
        <f ca="1">IFERROR(__xludf.DUMMYFUNCTION("""COMPUTED_VALUE"""),"SALITRAL")</f>
        <v>SALITRAL</v>
      </c>
      <c r="H1654" s="25" t="str">
        <f ca="1">IFERROR(__xludf.DUMMYFUNCTION("""COMPUTED_VALUE"""),"URBANO")</f>
        <v>URBANO</v>
      </c>
      <c r="I1654" s="25" t="str">
        <f ca="1">IFERROR(__xludf.DUMMYFUNCTION("""COMPUTED_VALUE"""),"Prioridad 2")</f>
        <v>Prioridad 2</v>
      </c>
      <c r="J1654" s="43" t="s">
        <v>262</v>
      </c>
    </row>
    <row r="1655" spans="2:10">
      <c r="B1655" s="25" t="str">
        <f ca="1">IFERROR(__xludf.DUMMYFUNCTION("""COMPUTED_VALUE"""),"MUNICIPALIDAD DISTRITAL")</f>
        <v>MUNICIPALIDAD DISTRITAL</v>
      </c>
      <c r="C1655" s="25" t="str">
        <f ca="1">IFERROR(__xludf.DUMMYFUNCTION("""COMPUTED_VALUE"""),"MUNICIPALIDAD DISTRITAL DE SAN JUAN DE BIGOTE")</f>
        <v>MUNICIPALIDAD DISTRITAL DE SAN JUAN DE BIGOTE</v>
      </c>
      <c r="D1655" s="25" t="str">
        <f ca="1">IFERROR(__xludf.DUMMYFUNCTION("""COMPUTED_VALUE"""),"PIURA")</f>
        <v>PIURA</v>
      </c>
      <c r="E1655" s="25" t="str">
        <f ca="1">IFERROR(__xludf.DUMMYFUNCTION("""COMPUTED_VALUE"""),"PIURA")</f>
        <v>PIURA</v>
      </c>
      <c r="F1655" s="25" t="str">
        <f ca="1">IFERROR(__xludf.DUMMYFUNCTION("""COMPUTED_VALUE"""),"MORROPON")</f>
        <v>MORROPON</v>
      </c>
      <c r="G1655" s="25" t="str">
        <f ca="1">IFERROR(__xludf.DUMMYFUNCTION("""COMPUTED_VALUE"""),"SAN JUAN DE BIGOTE")</f>
        <v>SAN JUAN DE BIGOTE</v>
      </c>
      <c r="H1655" s="25" t="str">
        <f ca="1">IFERROR(__xludf.DUMMYFUNCTION("""COMPUTED_VALUE"""),"URBANO")</f>
        <v>URBANO</v>
      </c>
      <c r="I1655" s="25" t="str">
        <f ca="1">IFERROR(__xludf.DUMMYFUNCTION("""COMPUTED_VALUE"""),"Prioridad 3")</f>
        <v>Prioridad 3</v>
      </c>
      <c r="J1655" s="43" t="s">
        <v>262</v>
      </c>
    </row>
    <row r="1656" spans="2:10">
      <c r="B1656" s="25" t="str">
        <f ca="1">IFERROR(__xludf.DUMMYFUNCTION("""COMPUTED_VALUE"""),"MUNICIPALIDAD DISTRITAL")</f>
        <v>MUNICIPALIDAD DISTRITAL</v>
      </c>
      <c r="C1656" s="25" t="str">
        <f ca="1">IFERROR(__xludf.DUMMYFUNCTION("""COMPUTED_VALUE"""),"MUNICIPALIDAD DISTRITAL DE SANTA CATALINA DE MOSSA")</f>
        <v>MUNICIPALIDAD DISTRITAL DE SANTA CATALINA DE MOSSA</v>
      </c>
      <c r="D1656" s="25" t="str">
        <f ca="1">IFERROR(__xludf.DUMMYFUNCTION("""COMPUTED_VALUE"""),"PIURA")</f>
        <v>PIURA</v>
      </c>
      <c r="E1656" s="25" t="str">
        <f ca="1">IFERROR(__xludf.DUMMYFUNCTION("""COMPUTED_VALUE"""),"PIURA")</f>
        <v>PIURA</v>
      </c>
      <c r="F1656" s="25" t="str">
        <f ca="1">IFERROR(__xludf.DUMMYFUNCTION("""COMPUTED_VALUE"""),"MORROPON")</f>
        <v>MORROPON</v>
      </c>
      <c r="G1656" s="25" t="str">
        <f ca="1">IFERROR(__xludf.DUMMYFUNCTION("""COMPUTED_VALUE"""),"SANTA CATALINA DE MOSSA")</f>
        <v>SANTA CATALINA DE MOSSA</v>
      </c>
      <c r="H1656" s="25" t="str">
        <f ca="1">IFERROR(__xludf.DUMMYFUNCTION("""COMPUTED_VALUE"""),"RURAL")</f>
        <v>RURAL</v>
      </c>
      <c r="I1656" s="25" t="str">
        <f ca="1">IFERROR(__xludf.DUMMYFUNCTION("""COMPUTED_VALUE"""),"Prioridad 5")</f>
        <v>Prioridad 5</v>
      </c>
      <c r="J1656" s="43" t="s">
        <v>262</v>
      </c>
    </row>
    <row r="1657" spans="2:10">
      <c r="B1657" s="25" t="str">
        <f ca="1">IFERROR(__xludf.DUMMYFUNCTION("""COMPUTED_VALUE"""),"MUNICIPALIDAD DISTRITAL")</f>
        <v>MUNICIPALIDAD DISTRITAL</v>
      </c>
      <c r="C1657" s="25" t="str">
        <f ca="1">IFERROR(__xludf.DUMMYFUNCTION("""COMPUTED_VALUE"""),"MUNICIPALIDAD DISTRITAL DE SANTO DOMINGO")</f>
        <v>MUNICIPALIDAD DISTRITAL DE SANTO DOMINGO</v>
      </c>
      <c r="D1657" s="25" t="str">
        <f ca="1">IFERROR(__xludf.DUMMYFUNCTION("""COMPUTED_VALUE"""),"PIURA")</f>
        <v>PIURA</v>
      </c>
      <c r="E1657" s="25" t="str">
        <f ca="1">IFERROR(__xludf.DUMMYFUNCTION("""COMPUTED_VALUE"""),"PIURA")</f>
        <v>PIURA</v>
      </c>
      <c r="F1657" s="25" t="str">
        <f ca="1">IFERROR(__xludf.DUMMYFUNCTION("""COMPUTED_VALUE"""),"MORROPON")</f>
        <v>MORROPON</v>
      </c>
      <c r="G1657" s="25" t="str">
        <f ca="1">IFERROR(__xludf.DUMMYFUNCTION("""COMPUTED_VALUE"""),"SANTO DOMINGO")</f>
        <v>SANTO DOMINGO</v>
      </c>
      <c r="H1657" s="25" t="str">
        <f ca="1">IFERROR(__xludf.DUMMYFUNCTION("""COMPUTED_VALUE"""),"RURAL")</f>
        <v>RURAL</v>
      </c>
      <c r="I1657" s="25" t="str">
        <f ca="1">IFERROR(__xludf.DUMMYFUNCTION("""COMPUTED_VALUE"""),"Prioridad 3")</f>
        <v>Prioridad 3</v>
      </c>
      <c r="J1657" s="43" t="s">
        <v>262</v>
      </c>
    </row>
    <row r="1658" spans="2:10">
      <c r="B1658" s="25" t="str">
        <f ca="1">IFERROR(__xludf.DUMMYFUNCTION("""COMPUTED_VALUE"""),"MUNICIPALIDAD DISTRITAL")</f>
        <v>MUNICIPALIDAD DISTRITAL</v>
      </c>
      <c r="C1658" s="25" t="str">
        <f ca="1">IFERROR(__xludf.DUMMYFUNCTION("""COMPUTED_VALUE"""),"MUNICIPALIDAD DISTRITAL DE YAMANGO")</f>
        <v>MUNICIPALIDAD DISTRITAL DE YAMANGO</v>
      </c>
      <c r="D1658" s="25" t="str">
        <f ca="1">IFERROR(__xludf.DUMMYFUNCTION("""COMPUTED_VALUE"""),"PIURA")</f>
        <v>PIURA</v>
      </c>
      <c r="E1658" s="25" t="str">
        <f ca="1">IFERROR(__xludf.DUMMYFUNCTION("""COMPUTED_VALUE"""),"PIURA")</f>
        <v>PIURA</v>
      </c>
      <c r="F1658" s="25" t="str">
        <f ca="1">IFERROR(__xludf.DUMMYFUNCTION("""COMPUTED_VALUE"""),"MORROPON")</f>
        <v>MORROPON</v>
      </c>
      <c r="G1658" s="25" t="str">
        <f ca="1">IFERROR(__xludf.DUMMYFUNCTION("""COMPUTED_VALUE"""),"YAMANGO")</f>
        <v>YAMANGO</v>
      </c>
      <c r="H1658" s="25" t="str">
        <f ca="1">IFERROR(__xludf.DUMMYFUNCTION("""COMPUTED_VALUE"""),"RURAL")</f>
        <v>RURAL</v>
      </c>
      <c r="I1658" s="25" t="str">
        <f ca="1">IFERROR(__xludf.DUMMYFUNCTION("""COMPUTED_VALUE"""),"Prioridad 4")</f>
        <v>Prioridad 4</v>
      </c>
      <c r="J1658" s="43" t="s">
        <v>262</v>
      </c>
    </row>
    <row r="1659" spans="2:10">
      <c r="B1659" s="25" t="str">
        <f ca="1">IFERROR(__xludf.DUMMYFUNCTION("""COMPUTED_VALUE"""),"MUNICIPALIDAD PROVINCIAL")</f>
        <v>MUNICIPALIDAD PROVINCIAL</v>
      </c>
      <c r="C1659" s="25" t="str">
        <f ca="1">IFERROR(__xludf.DUMMYFUNCTION("""COMPUTED_VALUE"""),"MUNICIPALIDAD PROVINCIAL DE PAITA")</f>
        <v>MUNICIPALIDAD PROVINCIAL DE PAITA</v>
      </c>
      <c r="D1659" s="25" t="str">
        <f ca="1">IFERROR(__xludf.DUMMYFUNCTION("""COMPUTED_VALUE"""),"PIURA")</f>
        <v>PIURA</v>
      </c>
      <c r="E1659" s="25" t="str">
        <f ca="1">IFERROR(__xludf.DUMMYFUNCTION("""COMPUTED_VALUE"""),"PIURA")</f>
        <v>PIURA</v>
      </c>
      <c r="F1659" s="25" t="str">
        <f ca="1">IFERROR(__xludf.DUMMYFUNCTION("""COMPUTED_VALUE"""),"PAITA")</f>
        <v>PAITA</v>
      </c>
      <c r="G1659" s="25" t="str">
        <f ca="1">IFERROR(__xludf.DUMMYFUNCTION("""COMPUTED_VALUE"""),"PAITA")</f>
        <v>PAITA</v>
      </c>
      <c r="H1659" s="25" t="str">
        <f ca="1">IFERROR(__xludf.DUMMYFUNCTION("""COMPUTED_VALUE"""),"URBANO")</f>
        <v>URBANO</v>
      </c>
      <c r="I1659" s="25" t="str">
        <f ca="1">IFERROR(__xludf.DUMMYFUNCTION("""COMPUTED_VALUE"""),"Prioridad 1")</f>
        <v>Prioridad 1</v>
      </c>
      <c r="J1659" s="43" t="s">
        <v>262</v>
      </c>
    </row>
    <row r="1660" spans="2:10">
      <c r="B1660" s="25" t="str">
        <f ca="1">IFERROR(__xludf.DUMMYFUNCTION("""COMPUTED_VALUE"""),"MUNICIPALIDAD DISTRITAL")</f>
        <v>MUNICIPALIDAD DISTRITAL</v>
      </c>
      <c r="C1660" s="25" t="str">
        <f ca="1">IFERROR(__xludf.DUMMYFUNCTION("""COMPUTED_VALUE"""),"MUNICIPALIDAD DISTRITAL DE AMOTAPE")</f>
        <v>MUNICIPALIDAD DISTRITAL DE AMOTAPE</v>
      </c>
      <c r="D1660" s="25" t="str">
        <f ca="1">IFERROR(__xludf.DUMMYFUNCTION("""COMPUTED_VALUE"""),"PIURA")</f>
        <v>PIURA</v>
      </c>
      <c r="E1660" s="25" t="str">
        <f ca="1">IFERROR(__xludf.DUMMYFUNCTION("""COMPUTED_VALUE"""),"PIURA")</f>
        <v>PIURA</v>
      </c>
      <c r="F1660" s="25" t="str">
        <f ca="1">IFERROR(__xludf.DUMMYFUNCTION("""COMPUTED_VALUE"""),"PAITA")</f>
        <v>PAITA</v>
      </c>
      <c r="G1660" s="25" t="str">
        <f ca="1">IFERROR(__xludf.DUMMYFUNCTION("""COMPUTED_VALUE"""),"AMOTAPE")</f>
        <v>AMOTAPE</v>
      </c>
      <c r="H1660" s="25" t="str">
        <f ca="1">IFERROR(__xludf.DUMMYFUNCTION("""COMPUTED_VALUE"""),"URBANO")</f>
        <v>URBANO</v>
      </c>
      <c r="I1660" s="25" t="str">
        <f ca="1">IFERROR(__xludf.DUMMYFUNCTION("""COMPUTED_VALUE"""),"Prioridad 2")</f>
        <v>Prioridad 2</v>
      </c>
      <c r="J1660" s="43" t="s">
        <v>262</v>
      </c>
    </row>
    <row r="1661" spans="2:10">
      <c r="B1661" s="25" t="str">
        <f ca="1">IFERROR(__xludf.DUMMYFUNCTION("""COMPUTED_VALUE"""),"MUNICIPALIDAD DISTRITAL")</f>
        <v>MUNICIPALIDAD DISTRITAL</v>
      </c>
      <c r="C1661" s="25" t="str">
        <f ca="1">IFERROR(__xludf.DUMMYFUNCTION("""COMPUTED_VALUE"""),"MUNICIPALIDAD DISTRITAL DE COLAN")</f>
        <v>MUNICIPALIDAD DISTRITAL DE COLAN</v>
      </c>
      <c r="D1661" s="25" t="str">
        <f ca="1">IFERROR(__xludf.DUMMYFUNCTION("""COMPUTED_VALUE"""),"PIURA")</f>
        <v>PIURA</v>
      </c>
      <c r="E1661" s="25" t="str">
        <f ca="1">IFERROR(__xludf.DUMMYFUNCTION("""COMPUTED_VALUE"""),"PIURA")</f>
        <v>PIURA</v>
      </c>
      <c r="F1661" s="25" t="str">
        <f ca="1">IFERROR(__xludf.DUMMYFUNCTION("""COMPUTED_VALUE"""),"PAITA")</f>
        <v>PAITA</v>
      </c>
      <c r="G1661" s="25" t="str">
        <f ca="1">IFERROR(__xludf.DUMMYFUNCTION("""COMPUTED_VALUE"""),"COLAN")</f>
        <v>COLAN</v>
      </c>
      <c r="H1661" s="25" t="str">
        <f ca="1">IFERROR(__xludf.DUMMYFUNCTION("""COMPUTED_VALUE"""),"URBANO")</f>
        <v>URBANO</v>
      </c>
      <c r="I1661" s="25" t="str">
        <f ca="1">IFERROR(__xludf.DUMMYFUNCTION("""COMPUTED_VALUE"""),"Prioridad 3")</f>
        <v>Prioridad 3</v>
      </c>
      <c r="J1661" s="43" t="s">
        <v>262</v>
      </c>
    </row>
    <row r="1662" spans="2:10">
      <c r="B1662" s="25" t="str">
        <f ca="1">IFERROR(__xludf.DUMMYFUNCTION("""COMPUTED_VALUE"""),"MUNICIPALIDAD DISTRITAL")</f>
        <v>MUNICIPALIDAD DISTRITAL</v>
      </c>
      <c r="C1662" s="25" t="str">
        <f ca="1">IFERROR(__xludf.DUMMYFUNCTION("""COMPUTED_VALUE"""),"MUNICIPALIDAD DISTRITAL DE ARENAL")</f>
        <v>MUNICIPALIDAD DISTRITAL DE ARENAL</v>
      </c>
      <c r="D1662" s="25" t="str">
        <f ca="1">IFERROR(__xludf.DUMMYFUNCTION("""COMPUTED_VALUE"""),"PIURA")</f>
        <v>PIURA</v>
      </c>
      <c r="E1662" s="25" t="str">
        <f ca="1">IFERROR(__xludf.DUMMYFUNCTION("""COMPUTED_VALUE"""),"PIURA")</f>
        <v>PIURA</v>
      </c>
      <c r="F1662" s="25" t="str">
        <f ca="1">IFERROR(__xludf.DUMMYFUNCTION("""COMPUTED_VALUE"""),"PAITA")</f>
        <v>PAITA</v>
      </c>
      <c r="G1662" s="25" t="str">
        <f ca="1">IFERROR(__xludf.DUMMYFUNCTION("""COMPUTED_VALUE"""),"ARENAL")</f>
        <v>ARENAL</v>
      </c>
      <c r="H1662" s="25" t="str">
        <f ca="1">IFERROR(__xludf.DUMMYFUNCTION("""COMPUTED_VALUE"""),"RURAL")</f>
        <v>RURAL</v>
      </c>
      <c r="I1662" s="25" t="str">
        <f ca="1">IFERROR(__xludf.DUMMYFUNCTION("""COMPUTED_VALUE"""),"Prioridad 2")</f>
        <v>Prioridad 2</v>
      </c>
      <c r="J1662" s="43" t="s">
        <v>262</v>
      </c>
    </row>
    <row r="1663" spans="2:10">
      <c r="B1663" s="25" t="str">
        <f ca="1">IFERROR(__xludf.DUMMYFUNCTION("""COMPUTED_VALUE"""),"MUNICIPALIDAD DISTRITAL")</f>
        <v>MUNICIPALIDAD DISTRITAL</v>
      </c>
      <c r="C1663" s="25" t="str">
        <f ca="1">IFERROR(__xludf.DUMMYFUNCTION("""COMPUTED_VALUE"""),"MUNICIPALIDAD DISTRITAL DE LA HUACA")</f>
        <v>MUNICIPALIDAD DISTRITAL DE LA HUACA</v>
      </c>
      <c r="D1663" s="25" t="str">
        <f ca="1">IFERROR(__xludf.DUMMYFUNCTION("""COMPUTED_VALUE"""),"PIURA")</f>
        <v>PIURA</v>
      </c>
      <c r="E1663" s="25" t="str">
        <f ca="1">IFERROR(__xludf.DUMMYFUNCTION("""COMPUTED_VALUE"""),"PIURA")</f>
        <v>PIURA</v>
      </c>
      <c r="F1663" s="25" t="str">
        <f ca="1">IFERROR(__xludf.DUMMYFUNCTION("""COMPUTED_VALUE"""),"PAITA")</f>
        <v>PAITA</v>
      </c>
      <c r="G1663" s="25" t="str">
        <f ca="1">IFERROR(__xludf.DUMMYFUNCTION("""COMPUTED_VALUE"""),"LA HUACA")</f>
        <v>LA HUACA</v>
      </c>
      <c r="H1663" s="25" t="str">
        <f ca="1">IFERROR(__xludf.DUMMYFUNCTION("""COMPUTED_VALUE"""),"URBANO")</f>
        <v>URBANO</v>
      </c>
      <c r="I1663" s="25" t="str">
        <f ca="1">IFERROR(__xludf.DUMMYFUNCTION("""COMPUTED_VALUE"""),"Prioridad 2")</f>
        <v>Prioridad 2</v>
      </c>
      <c r="J1663" s="43" t="s">
        <v>262</v>
      </c>
    </row>
    <row r="1664" spans="2:10">
      <c r="B1664" s="25" t="str">
        <f ca="1">IFERROR(__xludf.DUMMYFUNCTION("""COMPUTED_VALUE"""),"MUNICIPALIDAD DISTRITAL")</f>
        <v>MUNICIPALIDAD DISTRITAL</v>
      </c>
      <c r="C1664" s="25" t="str">
        <f ca="1">IFERROR(__xludf.DUMMYFUNCTION("""COMPUTED_VALUE"""),"MUNICIPALIDAD DISTRITAL DE TAMARINDO")</f>
        <v>MUNICIPALIDAD DISTRITAL DE TAMARINDO</v>
      </c>
      <c r="D1664" s="25" t="str">
        <f ca="1">IFERROR(__xludf.DUMMYFUNCTION("""COMPUTED_VALUE"""),"PIURA")</f>
        <v>PIURA</v>
      </c>
      <c r="E1664" s="25" t="str">
        <f ca="1">IFERROR(__xludf.DUMMYFUNCTION("""COMPUTED_VALUE"""),"PIURA")</f>
        <v>PIURA</v>
      </c>
      <c r="F1664" s="25" t="str">
        <f ca="1">IFERROR(__xludf.DUMMYFUNCTION("""COMPUTED_VALUE"""),"PAITA")</f>
        <v>PAITA</v>
      </c>
      <c r="G1664" s="25" t="str">
        <f ca="1">IFERROR(__xludf.DUMMYFUNCTION("""COMPUTED_VALUE"""),"TAMARINDO")</f>
        <v>TAMARINDO</v>
      </c>
      <c r="H1664" s="25" t="str">
        <f ca="1">IFERROR(__xludf.DUMMYFUNCTION("""COMPUTED_VALUE"""),"URBANO")</f>
        <v>URBANO</v>
      </c>
      <c r="I1664" s="25" t="str">
        <f ca="1">IFERROR(__xludf.DUMMYFUNCTION("""COMPUTED_VALUE"""),"Prioridad 2")</f>
        <v>Prioridad 2</v>
      </c>
      <c r="J1664" s="43" t="s">
        <v>262</v>
      </c>
    </row>
    <row r="1665" spans="2:10">
      <c r="B1665" s="25" t="str">
        <f ca="1">IFERROR(__xludf.DUMMYFUNCTION("""COMPUTED_VALUE"""),"MUNICIPALIDAD DISTRITAL")</f>
        <v>MUNICIPALIDAD DISTRITAL</v>
      </c>
      <c r="C1665" s="25" t="str">
        <f ca="1">IFERROR(__xludf.DUMMYFUNCTION("""COMPUTED_VALUE"""),"MUNICIPALIDAD DISTRITAL DE VICHAYAL")</f>
        <v>MUNICIPALIDAD DISTRITAL DE VICHAYAL</v>
      </c>
      <c r="D1665" s="25" t="str">
        <f ca="1">IFERROR(__xludf.DUMMYFUNCTION("""COMPUTED_VALUE"""),"PIURA")</f>
        <v>PIURA</v>
      </c>
      <c r="E1665" s="25" t="str">
        <f ca="1">IFERROR(__xludf.DUMMYFUNCTION("""COMPUTED_VALUE"""),"PIURA")</f>
        <v>PIURA</v>
      </c>
      <c r="F1665" s="25" t="str">
        <f ca="1">IFERROR(__xludf.DUMMYFUNCTION("""COMPUTED_VALUE"""),"PAITA")</f>
        <v>PAITA</v>
      </c>
      <c r="G1665" s="25" t="str">
        <f ca="1">IFERROR(__xludf.DUMMYFUNCTION("""COMPUTED_VALUE"""),"VICHAYAL")</f>
        <v>VICHAYAL</v>
      </c>
      <c r="H1665" s="25" t="str">
        <f ca="1">IFERROR(__xludf.DUMMYFUNCTION("""COMPUTED_VALUE"""),"URBANO")</f>
        <v>URBANO</v>
      </c>
      <c r="I1665" s="25" t="str">
        <f ca="1">IFERROR(__xludf.DUMMYFUNCTION("""COMPUTED_VALUE"""),"Prioridad 2")</f>
        <v>Prioridad 2</v>
      </c>
      <c r="J1665" s="43" t="s">
        <v>262</v>
      </c>
    </row>
    <row r="1666" spans="2:10">
      <c r="B1666" s="25" t="str">
        <f ca="1">IFERROR(__xludf.DUMMYFUNCTION("""COMPUTED_VALUE"""),"MUNICIPALIDAD DISTRITAL")</f>
        <v>MUNICIPALIDAD DISTRITAL</v>
      </c>
      <c r="C1666" s="25" t="str">
        <f ca="1">IFERROR(__xludf.DUMMYFUNCTION("""COMPUTED_VALUE"""),"MUNICIPALIDAD DISTRITAL DE CASTILLA")</f>
        <v>MUNICIPALIDAD DISTRITAL DE CASTILLA</v>
      </c>
      <c r="D1666" s="25" t="str">
        <f ca="1">IFERROR(__xludf.DUMMYFUNCTION("""COMPUTED_VALUE"""),"PIURA")</f>
        <v>PIURA</v>
      </c>
      <c r="E1666" s="25" t="str">
        <f ca="1">IFERROR(__xludf.DUMMYFUNCTION("""COMPUTED_VALUE"""),"PIURA")</f>
        <v>PIURA</v>
      </c>
      <c r="F1666" s="25" t="str">
        <f ca="1">IFERROR(__xludf.DUMMYFUNCTION("""COMPUTED_VALUE"""),"PIURA")</f>
        <v>PIURA</v>
      </c>
      <c r="G1666" s="25" t="str">
        <f ca="1">IFERROR(__xludf.DUMMYFUNCTION("""COMPUTED_VALUE"""),"CASTILLA")</f>
        <v>CASTILLA</v>
      </c>
      <c r="H1666" s="25" t="str">
        <f ca="1">IFERROR(__xludf.DUMMYFUNCTION("""COMPUTED_VALUE"""),"URBANO")</f>
        <v>URBANO</v>
      </c>
      <c r="I1666" s="25" t="str">
        <f ca="1">IFERROR(__xludf.DUMMYFUNCTION("""COMPUTED_VALUE"""),"Prioridad 1")</f>
        <v>Prioridad 1</v>
      </c>
      <c r="J1666" s="43" t="s">
        <v>262</v>
      </c>
    </row>
    <row r="1667" spans="2:10">
      <c r="B1667" s="25" t="str">
        <f ca="1">IFERROR(__xludf.DUMMYFUNCTION("""COMPUTED_VALUE"""),"MUNICIPALIDAD DISTRITAL")</f>
        <v>MUNICIPALIDAD DISTRITAL</v>
      </c>
      <c r="C1667" s="25" t="str">
        <f ca="1">IFERROR(__xludf.DUMMYFUNCTION("""COMPUTED_VALUE"""),"MUNICIPALIDAD DISTRITAL DE CATACAOS")</f>
        <v>MUNICIPALIDAD DISTRITAL DE CATACAOS</v>
      </c>
      <c r="D1667" s="25" t="str">
        <f ca="1">IFERROR(__xludf.DUMMYFUNCTION("""COMPUTED_VALUE"""),"PIURA")</f>
        <v>PIURA</v>
      </c>
      <c r="E1667" s="25" t="str">
        <f ca="1">IFERROR(__xludf.DUMMYFUNCTION("""COMPUTED_VALUE"""),"PIURA")</f>
        <v>PIURA</v>
      </c>
      <c r="F1667" s="25" t="str">
        <f ca="1">IFERROR(__xludf.DUMMYFUNCTION("""COMPUTED_VALUE"""),"PIURA")</f>
        <v>PIURA</v>
      </c>
      <c r="G1667" s="25" t="str">
        <f ca="1">IFERROR(__xludf.DUMMYFUNCTION("""COMPUTED_VALUE"""),"CATACAOS")</f>
        <v>CATACAOS</v>
      </c>
      <c r="H1667" s="25" t="str">
        <f ca="1">IFERROR(__xludf.DUMMYFUNCTION("""COMPUTED_VALUE"""),"URBANO")</f>
        <v>URBANO</v>
      </c>
      <c r="I1667" s="25" t="str">
        <f ca="1">IFERROR(__xludf.DUMMYFUNCTION("""COMPUTED_VALUE"""),"Prioridad 2")</f>
        <v>Prioridad 2</v>
      </c>
      <c r="J1667" s="43" t="s">
        <v>262</v>
      </c>
    </row>
    <row r="1668" spans="2:10">
      <c r="B1668" s="25" t="str">
        <f ca="1">IFERROR(__xludf.DUMMYFUNCTION("""COMPUTED_VALUE"""),"MUNICIPALIDAD DISTRITAL")</f>
        <v>MUNICIPALIDAD DISTRITAL</v>
      </c>
      <c r="C1668" s="25" t="str">
        <f ca="1">IFERROR(__xludf.DUMMYFUNCTION("""COMPUTED_VALUE"""),"MUNICIPALIDAD DISTRITAL DE CURA MORI")</f>
        <v>MUNICIPALIDAD DISTRITAL DE CURA MORI</v>
      </c>
      <c r="D1668" s="25" t="str">
        <f ca="1">IFERROR(__xludf.DUMMYFUNCTION("""COMPUTED_VALUE"""),"PIURA")</f>
        <v>PIURA</v>
      </c>
      <c r="E1668" s="25" t="str">
        <f ca="1">IFERROR(__xludf.DUMMYFUNCTION("""COMPUTED_VALUE"""),"PIURA")</f>
        <v>PIURA</v>
      </c>
      <c r="F1668" s="25" t="str">
        <f ca="1">IFERROR(__xludf.DUMMYFUNCTION("""COMPUTED_VALUE"""),"PIURA")</f>
        <v>PIURA</v>
      </c>
      <c r="G1668" s="25" t="str">
        <f ca="1">IFERROR(__xludf.DUMMYFUNCTION("""COMPUTED_VALUE"""),"CURA MORI")</f>
        <v>CURA MORI</v>
      </c>
      <c r="H1668" s="25" t="str">
        <f ca="1">IFERROR(__xludf.DUMMYFUNCTION("""COMPUTED_VALUE"""),"URBANO")</f>
        <v>URBANO</v>
      </c>
      <c r="I1668" s="25" t="str">
        <f ca="1">IFERROR(__xludf.DUMMYFUNCTION("""COMPUTED_VALUE"""),"Prioridad 2")</f>
        <v>Prioridad 2</v>
      </c>
      <c r="J1668" s="43" t="s">
        <v>262</v>
      </c>
    </row>
    <row r="1669" spans="2:10">
      <c r="B1669" s="25" t="str">
        <f ca="1">IFERROR(__xludf.DUMMYFUNCTION("""COMPUTED_VALUE"""),"MUNICIPALIDAD DISTRITAL")</f>
        <v>MUNICIPALIDAD DISTRITAL</v>
      </c>
      <c r="C1669" s="25" t="str">
        <f ca="1">IFERROR(__xludf.DUMMYFUNCTION("""COMPUTED_VALUE"""),"MUNICIPALIDAD DISTRITAL DE EL TALLAN")</f>
        <v>MUNICIPALIDAD DISTRITAL DE EL TALLAN</v>
      </c>
      <c r="D1669" s="25" t="str">
        <f ca="1">IFERROR(__xludf.DUMMYFUNCTION("""COMPUTED_VALUE"""),"PIURA")</f>
        <v>PIURA</v>
      </c>
      <c r="E1669" s="25" t="str">
        <f ca="1">IFERROR(__xludf.DUMMYFUNCTION("""COMPUTED_VALUE"""),"PIURA")</f>
        <v>PIURA</v>
      </c>
      <c r="F1669" s="25" t="str">
        <f ca="1">IFERROR(__xludf.DUMMYFUNCTION("""COMPUTED_VALUE"""),"PIURA")</f>
        <v>PIURA</v>
      </c>
      <c r="G1669" s="25" t="str">
        <f ca="1">IFERROR(__xludf.DUMMYFUNCTION("""COMPUTED_VALUE"""),"EL TALLAN")</f>
        <v>EL TALLAN</v>
      </c>
      <c r="H1669" s="25" t="str">
        <f ca="1">IFERROR(__xludf.DUMMYFUNCTION("""COMPUTED_VALUE"""),"URBANO")</f>
        <v>URBANO</v>
      </c>
      <c r="I1669" s="25" t="str">
        <f ca="1">IFERROR(__xludf.DUMMYFUNCTION("""COMPUTED_VALUE"""),"Prioridad 3")</f>
        <v>Prioridad 3</v>
      </c>
      <c r="J1669" s="43" t="s">
        <v>262</v>
      </c>
    </row>
    <row r="1670" spans="2:10">
      <c r="B1670" s="25" t="str">
        <f ca="1">IFERROR(__xludf.DUMMYFUNCTION("""COMPUTED_VALUE"""),"MUNICIPALIDAD DISTRITAL")</f>
        <v>MUNICIPALIDAD DISTRITAL</v>
      </c>
      <c r="C1670" s="25" t="str">
        <f ca="1">IFERROR(__xludf.DUMMYFUNCTION("""COMPUTED_VALUE"""),"MUNICIPALIDAD DISTRITAL DE LA ARENA")</f>
        <v>MUNICIPALIDAD DISTRITAL DE LA ARENA</v>
      </c>
      <c r="D1670" s="25" t="str">
        <f ca="1">IFERROR(__xludf.DUMMYFUNCTION("""COMPUTED_VALUE"""),"PIURA")</f>
        <v>PIURA</v>
      </c>
      <c r="E1670" s="25" t="str">
        <f ca="1">IFERROR(__xludf.DUMMYFUNCTION("""COMPUTED_VALUE"""),"PIURA")</f>
        <v>PIURA</v>
      </c>
      <c r="F1670" s="25" t="str">
        <f ca="1">IFERROR(__xludf.DUMMYFUNCTION("""COMPUTED_VALUE"""),"PIURA")</f>
        <v>PIURA</v>
      </c>
      <c r="G1670" s="25" t="str">
        <f ca="1">IFERROR(__xludf.DUMMYFUNCTION("""COMPUTED_VALUE"""),"LA ARENA")</f>
        <v>LA ARENA</v>
      </c>
      <c r="H1670" s="25" t="str">
        <f ca="1">IFERROR(__xludf.DUMMYFUNCTION("""COMPUTED_VALUE"""),"URBANO")</f>
        <v>URBANO</v>
      </c>
      <c r="I1670" s="25" t="str">
        <f ca="1">IFERROR(__xludf.DUMMYFUNCTION("""COMPUTED_VALUE"""),"Prioridad 1")</f>
        <v>Prioridad 1</v>
      </c>
      <c r="J1670" s="43" t="s">
        <v>262</v>
      </c>
    </row>
    <row r="1671" spans="2:10">
      <c r="B1671" s="25" t="str">
        <f ca="1">IFERROR(__xludf.DUMMYFUNCTION("""COMPUTED_VALUE"""),"MUNICIPALIDAD DISTRITAL")</f>
        <v>MUNICIPALIDAD DISTRITAL</v>
      </c>
      <c r="C1671" s="25" t="str">
        <f ca="1">IFERROR(__xludf.DUMMYFUNCTION("""COMPUTED_VALUE"""),"MUNICIPALIDAD DISTRITAL DE LA UNION EN PIURA")</f>
        <v>MUNICIPALIDAD DISTRITAL DE LA UNION EN PIURA</v>
      </c>
      <c r="D1671" s="25" t="str">
        <f ca="1">IFERROR(__xludf.DUMMYFUNCTION("""COMPUTED_VALUE"""),"PIURA")</f>
        <v>PIURA</v>
      </c>
      <c r="E1671" s="25" t="str">
        <f ca="1">IFERROR(__xludf.DUMMYFUNCTION("""COMPUTED_VALUE"""),"PIURA")</f>
        <v>PIURA</v>
      </c>
      <c r="F1671" s="25" t="str">
        <f ca="1">IFERROR(__xludf.DUMMYFUNCTION("""COMPUTED_VALUE"""),"PIURA")</f>
        <v>PIURA</v>
      </c>
      <c r="G1671" s="25" t="str">
        <f ca="1">IFERROR(__xludf.DUMMYFUNCTION("""COMPUTED_VALUE"""),"LA UNION")</f>
        <v>LA UNION</v>
      </c>
      <c r="H1671" s="25" t="str">
        <f ca="1">IFERROR(__xludf.DUMMYFUNCTION("""COMPUTED_VALUE"""),"URBANO")</f>
        <v>URBANO</v>
      </c>
      <c r="I1671" s="25" t="str">
        <f ca="1">IFERROR(__xludf.DUMMYFUNCTION("""COMPUTED_VALUE"""),"Prioridad 1")</f>
        <v>Prioridad 1</v>
      </c>
      <c r="J1671" s="43" t="s">
        <v>262</v>
      </c>
    </row>
    <row r="1672" spans="2:10">
      <c r="B1672" s="25" t="str">
        <f ca="1">IFERROR(__xludf.DUMMYFUNCTION("""COMPUTED_VALUE"""),"MUNICIPALIDAD DISTRITAL")</f>
        <v>MUNICIPALIDAD DISTRITAL</v>
      </c>
      <c r="C1672" s="25" t="str">
        <f ca="1">IFERROR(__xludf.DUMMYFUNCTION("""COMPUTED_VALUE"""),"MUNICIPALIDAD DISTRITAL DE LAS LOMAS")</f>
        <v>MUNICIPALIDAD DISTRITAL DE LAS LOMAS</v>
      </c>
      <c r="D1672" s="25" t="str">
        <f ca="1">IFERROR(__xludf.DUMMYFUNCTION("""COMPUTED_VALUE"""),"PIURA")</f>
        <v>PIURA</v>
      </c>
      <c r="E1672" s="25" t="str">
        <f ca="1">IFERROR(__xludf.DUMMYFUNCTION("""COMPUTED_VALUE"""),"PIURA")</f>
        <v>PIURA</v>
      </c>
      <c r="F1672" s="25" t="str">
        <f ca="1">IFERROR(__xludf.DUMMYFUNCTION("""COMPUTED_VALUE"""),"PIURA")</f>
        <v>PIURA</v>
      </c>
      <c r="G1672" s="25" t="str">
        <f ca="1">IFERROR(__xludf.DUMMYFUNCTION("""COMPUTED_VALUE"""),"LAS LOMAS")</f>
        <v>LAS LOMAS</v>
      </c>
      <c r="H1672" s="25" t="str">
        <f ca="1">IFERROR(__xludf.DUMMYFUNCTION("""COMPUTED_VALUE"""),"URBANO")</f>
        <v>URBANO</v>
      </c>
      <c r="I1672" s="25" t="str">
        <f ca="1">IFERROR(__xludf.DUMMYFUNCTION("""COMPUTED_VALUE"""),"Prioridad 3")</f>
        <v>Prioridad 3</v>
      </c>
      <c r="J1672" s="43" t="s">
        <v>262</v>
      </c>
    </row>
    <row r="1673" spans="2:10">
      <c r="B1673" s="25" t="str">
        <f ca="1">IFERROR(__xludf.DUMMYFUNCTION("""COMPUTED_VALUE"""),"MUNICIPALIDAD PROVINCIAL")</f>
        <v>MUNICIPALIDAD PROVINCIAL</v>
      </c>
      <c r="C1673" s="25" t="str">
        <f ca="1">IFERROR(__xludf.DUMMYFUNCTION("""COMPUTED_VALUE"""),"MUNICIPALIDAD PROVINCIAL DE PIURA")</f>
        <v>MUNICIPALIDAD PROVINCIAL DE PIURA</v>
      </c>
      <c r="D1673" s="25" t="str">
        <f ca="1">IFERROR(__xludf.DUMMYFUNCTION("""COMPUTED_VALUE"""),"PIURA")</f>
        <v>PIURA</v>
      </c>
      <c r="E1673" s="25" t="str">
        <f ca="1">IFERROR(__xludf.DUMMYFUNCTION("""COMPUTED_VALUE"""),"PIURA")</f>
        <v>PIURA</v>
      </c>
      <c r="F1673" s="25" t="str">
        <f ca="1">IFERROR(__xludf.DUMMYFUNCTION("""COMPUTED_VALUE"""),"PIURA")</f>
        <v>PIURA</v>
      </c>
      <c r="G1673" s="25" t="str">
        <f ca="1">IFERROR(__xludf.DUMMYFUNCTION("""COMPUTED_VALUE"""),"PIURA")</f>
        <v>PIURA</v>
      </c>
      <c r="H1673" s="25" t="str">
        <f ca="1">IFERROR(__xludf.DUMMYFUNCTION("""COMPUTED_VALUE"""),"URBANO")</f>
        <v>URBANO</v>
      </c>
      <c r="I1673" s="25" t="str">
        <f ca="1">IFERROR(__xludf.DUMMYFUNCTION("""COMPUTED_VALUE"""),"Prioridad 1")</f>
        <v>Prioridad 1</v>
      </c>
      <c r="J1673" s="43" t="s">
        <v>262</v>
      </c>
    </row>
    <row r="1674" spans="2:10">
      <c r="B1674" s="25" t="str">
        <f ca="1">IFERROR(__xludf.DUMMYFUNCTION("""COMPUTED_VALUE"""),"MUNICIPALIDAD DISTRITAL")</f>
        <v>MUNICIPALIDAD DISTRITAL</v>
      </c>
      <c r="C1674" s="25" t="str">
        <f ca="1">IFERROR(__xludf.DUMMYFUNCTION("""COMPUTED_VALUE"""),"MUNICIPALIDAD DISTRITAL DE TAMBO GRANDE")</f>
        <v>MUNICIPALIDAD DISTRITAL DE TAMBO GRANDE</v>
      </c>
      <c r="D1674" s="25" t="str">
        <f ca="1">IFERROR(__xludf.DUMMYFUNCTION("""COMPUTED_VALUE"""),"PIURA")</f>
        <v>PIURA</v>
      </c>
      <c r="E1674" s="25" t="str">
        <f ca="1">IFERROR(__xludf.DUMMYFUNCTION("""COMPUTED_VALUE"""),"PIURA")</f>
        <v>PIURA</v>
      </c>
      <c r="F1674" s="25" t="str">
        <f ca="1">IFERROR(__xludf.DUMMYFUNCTION("""COMPUTED_VALUE"""),"PIURA")</f>
        <v>PIURA</v>
      </c>
      <c r="G1674" s="25" t="str">
        <f ca="1">IFERROR(__xludf.DUMMYFUNCTION("""COMPUTED_VALUE"""),"TAMBO GRANDE")</f>
        <v>TAMBO GRANDE</v>
      </c>
      <c r="H1674" s="25" t="str">
        <f ca="1">IFERROR(__xludf.DUMMYFUNCTION("""COMPUTED_VALUE"""),"RURAL")</f>
        <v>RURAL</v>
      </c>
      <c r="I1674" s="25" t="str">
        <f ca="1">IFERROR(__xludf.DUMMYFUNCTION("""COMPUTED_VALUE"""),"Prioridad 1")</f>
        <v>Prioridad 1</v>
      </c>
      <c r="J1674" s="43" t="s">
        <v>262</v>
      </c>
    </row>
    <row r="1675" spans="2:10">
      <c r="B1675" s="25" t="str">
        <f ca="1">IFERROR(__xludf.DUMMYFUNCTION("""COMPUTED_VALUE"""),"MUNICIPALIDAD DISTRITAL")</f>
        <v>MUNICIPALIDAD DISTRITAL</v>
      </c>
      <c r="C1675" s="25" t="str">
        <f ca="1">IFERROR(__xludf.DUMMYFUNCTION("""COMPUTED_VALUE"""),"MUNICIPALIDAD DISTRITAL DE VEINTISEIS DE OCTUBRE")</f>
        <v>MUNICIPALIDAD DISTRITAL DE VEINTISEIS DE OCTUBRE</v>
      </c>
      <c r="D1675" s="25" t="str">
        <f ca="1">IFERROR(__xludf.DUMMYFUNCTION("""COMPUTED_VALUE"""),"PIURA")</f>
        <v>PIURA</v>
      </c>
      <c r="E1675" s="25" t="str">
        <f ca="1">IFERROR(__xludf.DUMMYFUNCTION("""COMPUTED_VALUE"""),"PIURA")</f>
        <v>PIURA</v>
      </c>
      <c r="F1675" s="25" t="str">
        <f ca="1">IFERROR(__xludf.DUMMYFUNCTION("""COMPUTED_VALUE"""),"PIURA")</f>
        <v>PIURA</v>
      </c>
      <c r="G1675" s="25" t="str">
        <f ca="1">IFERROR(__xludf.DUMMYFUNCTION("""COMPUTED_VALUE"""),"VEINTISEIS DE OCTUBRE")</f>
        <v>VEINTISEIS DE OCTUBRE</v>
      </c>
      <c r="H1675" s="25" t="str">
        <f ca="1">IFERROR(__xludf.DUMMYFUNCTION("""COMPUTED_VALUE"""),"URBANO")</f>
        <v>URBANO</v>
      </c>
      <c r="I1675" s="25" t="str">
        <f ca="1">IFERROR(__xludf.DUMMYFUNCTION("""COMPUTED_VALUE"""),"Prioridad 1")</f>
        <v>Prioridad 1</v>
      </c>
      <c r="J1675" s="43" t="s">
        <v>262</v>
      </c>
    </row>
    <row r="1676" spans="2:10">
      <c r="B1676" s="25" t="str">
        <f ca="1">IFERROR(__xludf.DUMMYFUNCTION("""COMPUTED_VALUE"""),"GOBIERNO REGIONAL")</f>
        <v>GOBIERNO REGIONAL</v>
      </c>
      <c r="C1676" s="25" t="str">
        <f ca="1">IFERROR(__xludf.DUMMYFUNCTION("""COMPUTED_VALUE"""),"GOBIERNO REGIONAL DE PIURA")</f>
        <v>GOBIERNO REGIONAL DE PIURA</v>
      </c>
      <c r="D1676" s="25" t="str">
        <f ca="1">IFERROR(__xludf.DUMMYFUNCTION("""COMPUTED_VALUE"""),"PIURA")</f>
        <v>PIURA</v>
      </c>
      <c r="E1676" s="25" t="str">
        <f ca="1">IFERROR(__xludf.DUMMYFUNCTION("""COMPUTED_VALUE"""),"PIURA")</f>
        <v>PIURA</v>
      </c>
      <c r="F1676" s="25" t="str">
        <f ca="1">IFERROR(__xludf.DUMMYFUNCTION("""COMPUTED_VALUE"""),"PIURA")</f>
        <v>PIURA</v>
      </c>
      <c r="G1676" s="25" t="str">
        <f ca="1">IFERROR(__xludf.DUMMYFUNCTION("""COMPUTED_VALUE"""),"PIURA")</f>
        <v>PIURA</v>
      </c>
      <c r="H1676" s="25" t="str">
        <f ca="1">IFERROR(__xludf.DUMMYFUNCTION("""COMPUTED_VALUE"""),"URBANO")</f>
        <v>URBANO</v>
      </c>
      <c r="I1676" s="25" t="str">
        <f ca="1">IFERROR(__xludf.DUMMYFUNCTION("""COMPUTED_VALUE"""),"Prioridad 1")</f>
        <v>Prioridad 1</v>
      </c>
      <c r="J1676" s="43" t="s">
        <v>262</v>
      </c>
    </row>
    <row r="1677" spans="2:10">
      <c r="B1677" s="25" t="str">
        <f ca="1">IFERROR(__xludf.DUMMYFUNCTION("""COMPUTED_VALUE"""),"MUNICIPALIDAD PROVINCIAL")</f>
        <v>MUNICIPALIDAD PROVINCIAL</v>
      </c>
      <c r="C1677" s="25" t="str">
        <f ca="1">IFERROR(__xludf.DUMMYFUNCTION("""COMPUTED_VALUE"""),"MUNICIPALIDAD PROVINCIAL DE SECHURA")</f>
        <v>MUNICIPALIDAD PROVINCIAL DE SECHURA</v>
      </c>
      <c r="D1677" s="25" t="str">
        <f ca="1">IFERROR(__xludf.DUMMYFUNCTION("""COMPUTED_VALUE"""),"PIURA")</f>
        <v>PIURA</v>
      </c>
      <c r="E1677" s="25" t="str">
        <f ca="1">IFERROR(__xludf.DUMMYFUNCTION("""COMPUTED_VALUE"""),"PIURA")</f>
        <v>PIURA</v>
      </c>
      <c r="F1677" s="25" t="str">
        <f ca="1">IFERROR(__xludf.DUMMYFUNCTION("""COMPUTED_VALUE"""),"SECHURA")</f>
        <v>SECHURA</v>
      </c>
      <c r="G1677" s="25" t="str">
        <f ca="1">IFERROR(__xludf.DUMMYFUNCTION("""COMPUTED_VALUE"""),"SECHURA")</f>
        <v>SECHURA</v>
      </c>
      <c r="H1677" s="25" t="str">
        <f ca="1">IFERROR(__xludf.DUMMYFUNCTION("""COMPUTED_VALUE"""),"URBANO")</f>
        <v>URBANO</v>
      </c>
      <c r="I1677" s="25" t="str">
        <f ca="1">IFERROR(__xludf.DUMMYFUNCTION("""COMPUTED_VALUE"""),"Prioridad 1")</f>
        <v>Prioridad 1</v>
      </c>
      <c r="J1677" s="43" t="s">
        <v>262</v>
      </c>
    </row>
    <row r="1678" spans="2:10">
      <c r="B1678" s="25" t="str">
        <f ca="1">IFERROR(__xludf.DUMMYFUNCTION("""COMPUTED_VALUE"""),"MUNICIPALIDAD DISTRITAL")</f>
        <v>MUNICIPALIDAD DISTRITAL</v>
      </c>
      <c r="C1678" s="25" t="str">
        <f ca="1">IFERROR(__xludf.DUMMYFUNCTION("""COMPUTED_VALUE"""),"MUNICIPALIDAD DISTRITAL DE BELLAVISTA DE LA UNION")</f>
        <v>MUNICIPALIDAD DISTRITAL DE BELLAVISTA DE LA UNION</v>
      </c>
      <c r="D1678" s="25" t="str">
        <f ca="1">IFERROR(__xludf.DUMMYFUNCTION("""COMPUTED_VALUE"""),"PIURA")</f>
        <v>PIURA</v>
      </c>
      <c r="E1678" s="25" t="str">
        <f ca="1">IFERROR(__xludf.DUMMYFUNCTION("""COMPUTED_VALUE"""),"PIURA")</f>
        <v>PIURA</v>
      </c>
      <c r="F1678" s="25" t="str">
        <f ca="1">IFERROR(__xludf.DUMMYFUNCTION("""COMPUTED_VALUE"""),"SECHURA")</f>
        <v>SECHURA</v>
      </c>
      <c r="G1678" s="25" t="str">
        <f ca="1">IFERROR(__xludf.DUMMYFUNCTION("""COMPUTED_VALUE"""),"BELLAVISTA DE LA UNION")</f>
        <v>BELLAVISTA DE LA UNION</v>
      </c>
      <c r="H1678" s="25" t="str">
        <f ca="1">IFERROR(__xludf.DUMMYFUNCTION("""COMPUTED_VALUE"""),"URBANO")</f>
        <v>URBANO</v>
      </c>
      <c r="I1678" s="25" t="str">
        <f ca="1">IFERROR(__xludf.DUMMYFUNCTION("""COMPUTED_VALUE"""),"Prioridad 2")</f>
        <v>Prioridad 2</v>
      </c>
      <c r="J1678" s="43" t="s">
        <v>262</v>
      </c>
    </row>
    <row r="1679" spans="2:10">
      <c r="B1679" s="25" t="str">
        <f ca="1">IFERROR(__xludf.DUMMYFUNCTION("""COMPUTED_VALUE"""),"MUNICIPALIDAD DISTRITAL")</f>
        <v>MUNICIPALIDAD DISTRITAL</v>
      </c>
      <c r="C1679" s="25" t="str">
        <f ca="1">IFERROR(__xludf.DUMMYFUNCTION("""COMPUTED_VALUE"""),"MUNICIPALIDAD DISTRITAL DE BERNAL")</f>
        <v>MUNICIPALIDAD DISTRITAL DE BERNAL</v>
      </c>
      <c r="D1679" s="25" t="str">
        <f ca="1">IFERROR(__xludf.DUMMYFUNCTION("""COMPUTED_VALUE"""),"PIURA")</f>
        <v>PIURA</v>
      </c>
      <c r="E1679" s="25" t="str">
        <f ca="1">IFERROR(__xludf.DUMMYFUNCTION("""COMPUTED_VALUE"""),"PIURA")</f>
        <v>PIURA</v>
      </c>
      <c r="F1679" s="25" t="str">
        <f ca="1">IFERROR(__xludf.DUMMYFUNCTION("""COMPUTED_VALUE"""),"SECHURA")</f>
        <v>SECHURA</v>
      </c>
      <c r="G1679" s="25" t="str">
        <f ca="1">IFERROR(__xludf.DUMMYFUNCTION("""COMPUTED_VALUE"""),"BERNAL")</f>
        <v>BERNAL</v>
      </c>
      <c r="H1679" s="25" t="str">
        <f ca="1">IFERROR(__xludf.DUMMYFUNCTION("""COMPUTED_VALUE"""),"URBANO")</f>
        <v>URBANO</v>
      </c>
      <c r="I1679" s="25" t="str">
        <f ca="1">IFERROR(__xludf.DUMMYFUNCTION("""COMPUTED_VALUE"""),"Prioridad 2")</f>
        <v>Prioridad 2</v>
      </c>
      <c r="J1679" s="43" t="s">
        <v>262</v>
      </c>
    </row>
    <row r="1680" spans="2:10">
      <c r="B1680" s="25" t="str">
        <f ca="1">IFERROR(__xludf.DUMMYFUNCTION("""COMPUTED_VALUE"""),"MUNICIPALIDAD DISTRITAL")</f>
        <v>MUNICIPALIDAD DISTRITAL</v>
      </c>
      <c r="C1680" s="25" t="str">
        <f ca="1">IFERROR(__xludf.DUMMYFUNCTION("""COMPUTED_VALUE"""),"MUNICIPALIDAD DISTRITAL DE CRISTO NOS VALGA")</f>
        <v>MUNICIPALIDAD DISTRITAL DE CRISTO NOS VALGA</v>
      </c>
      <c r="D1680" s="25" t="str">
        <f ca="1">IFERROR(__xludf.DUMMYFUNCTION("""COMPUTED_VALUE"""),"PIURA")</f>
        <v>PIURA</v>
      </c>
      <c r="E1680" s="25" t="str">
        <f ca="1">IFERROR(__xludf.DUMMYFUNCTION("""COMPUTED_VALUE"""),"PIURA")</f>
        <v>PIURA</v>
      </c>
      <c r="F1680" s="25" t="str">
        <f ca="1">IFERROR(__xludf.DUMMYFUNCTION("""COMPUTED_VALUE"""),"SECHURA")</f>
        <v>SECHURA</v>
      </c>
      <c r="G1680" s="25" t="str">
        <f ca="1">IFERROR(__xludf.DUMMYFUNCTION("""COMPUTED_VALUE"""),"CRISTO NOS VALGA")</f>
        <v>CRISTO NOS VALGA</v>
      </c>
      <c r="H1680" s="25" t="str">
        <f ca="1">IFERROR(__xludf.DUMMYFUNCTION("""COMPUTED_VALUE"""),"URBANO")</f>
        <v>URBANO</v>
      </c>
      <c r="I1680" s="25" t="str">
        <f ca="1">IFERROR(__xludf.DUMMYFUNCTION("""COMPUTED_VALUE"""),"Prioridad 3")</f>
        <v>Prioridad 3</v>
      </c>
      <c r="J1680" s="43" t="s">
        <v>262</v>
      </c>
    </row>
    <row r="1681" spans="2:10">
      <c r="B1681" s="25" t="str">
        <f ca="1">IFERROR(__xludf.DUMMYFUNCTION("""COMPUTED_VALUE"""),"MUNICIPALIDAD DISTRITAL")</f>
        <v>MUNICIPALIDAD DISTRITAL</v>
      </c>
      <c r="C1681" s="25" t="str">
        <f ca="1">IFERROR(__xludf.DUMMYFUNCTION("""COMPUTED_VALUE"""),"MUNICIPALIDAD DISTRITAL DE RINCONADA LLICUAR")</f>
        <v>MUNICIPALIDAD DISTRITAL DE RINCONADA LLICUAR</v>
      </c>
      <c r="D1681" s="25" t="str">
        <f ca="1">IFERROR(__xludf.DUMMYFUNCTION("""COMPUTED_VALUE"""),"PIURA")</f>
        <v>PIURA</v>
      </c>
      <c r="E1681" s="25" t="str">
        <f ca="1">IFERROR(__xludf.DUMMYFUNCTION("""COMPUTED_VALUE"""),"PIURA")</f>
        <v>PIURA</v>
      </c>
      <c r="F1681" s="25" t="str">
        <f ca="1">IFERROR(__xludf.DUMMYFUNCTION("""COMPUTED_VALUE"""),"SECHURA")</f>
        <v>SECHURA</v>
      </c>
      <c r="G1681" s="25" t="str">
        <f ca="1">IFERROR(__xludf.DUMMYFUNCTION("""COMPUTED_VALUE"""),"RINCONADA LLICUAR")</f>
        <v>RINCONADA LLICUAR</v>
      </c>
      <c r="H1681" s="25" t="str">
        <f ca="1">IFERROR(__xludf.DUMMYFUNCTION("""COMPUTED_VALUE"""),"URBANO")</f>
        <v>URBANO</v>
      </c>
      <c r="I1681" s="25" t="str">
        <f ca="1">IFERROR(__xludf.DUMMYFUNCTION("""COMPUTED_VALUE"""),"Prioridad 2")</f>
        <v>Prioridad 2</v>
      </c>
      <c r="J1681" s="43" t="s">
        <v>262</v>
      </c>
    </row>
    <row r="1682" spans="2:10">
      <c r="B1682" s="25" t="str">
        <f ca="1">IFERROR(__xludf.DUMMYFUNCTION("""COMPUTED_VALUE"""),"MUNICIPALIDAD DISTRITAL")</f>
        <v>MUNICIPALIDAD DISTRITAL</v>
      </c>
      <c r="C1682" s="25" t="str">
        <f ca="1">IFERROR(__xludf.DUMMYFUNCTION("""COMPUTED_VALUE"""),"MUNICIPALIDAD DISTRITAL DE VICE")</f>
        <v>MUNICIPALIDAD DISTRITAL DE VICE</v>
      </c>
      <c r="D1682" s="25" t="str">
        <f ca="1">IFERROR(__xludf.DUMMYFUNCTION("""COMPUTED_VALUE"""),"PIURA")</f>
        <v>PIURA</v>
      </c>
      <c r="E1682" s="25" t="str">
        <f ca="1">IFERROR(__xludf.DUMMYFUNCTION("""COMPUTED_VALUE"""),"PIURA")</f>
        <v>PIURA</v>
      </c>
      <c r="F1682" s="25" t="str">
        <f ca="1">IFERROR(__xludf.DUMMYFUNCTION("""COMPUTED_VALUE"""),"SECHURA")</f>
        <v>SECHURA</v>
      </c>
      <c r="G1682" s="25" t="str">
        <f ca="1">IFERROR(__xludf.DUMMYFUNCTION("""COMPUTED_VALUE"""),"VICE")</f>
        <v>VICE</v>
      </c>
      <c r="H1682" s="25" t="str">
        <f ca="1">IFERROR(__xludf.DUMMYFUNCTION("""COMPUTED_VALUE"""),"URBANO")</f>
        <v>URBANO</v>
      </c>
      <c r="I1682" s="25" t="str">
        <f ca="1">IFERROR(__xludf.DUMMYFUNCTION("""COMPUTED_VALUE"""),"Prioridad 2")</f>
        <v>Prioridad 2</v>
      </c>
      <c r="J1682" s="43" t="s">
        <v>262</v>
      </c>
    </row>
    <row r="1683" spans="2:10">
      <c r="B1683" s="25" t="str">
        <f ca="1">IFERROR(__xludf.DUMMYFUNCTION("""COMPUTED_VALUE"""),"MUNICIPALIDAD PROVINCIAL")</f>
        <v>MUNICIPALIDAD PROVINCIAL</v>
      </c>
      <c r="C1683" s="25" t="str">
        <f ca="1">IFERROR(__xludf.DUMMYFUNCTION("""COMPUTED_VALUE"""),"MUNICIPALIDAD PROVINCIAL DE SULLANA")</f>
        <v>MUNICIPALIDAD PROVINCIAL DE SULLANA</v>
      </c>
      <c r="D1683" s="25" t="str">
        <f ca="1">IFERROR(__xludf.DUMMYFUNCTION("""COMPUTED_VALUE"""),"PIURA")</f>
        <v>PIURA</v>
      </c>
      <c r="E1683" s="25" t="str">
        <f ca="1">IFERROR(__xludf.DUMMYFUNCTION("""COMPUTED_VALUE"""),"PIURA")</f>
        <v>PIURA</v>
      </c>
      <c r="F1683" s="25" t="str">
        <f ca="1">IFERROR(__xludf.DUMMYFUNCTION("""COMPUTED_VALUE"""),"SULLANA")</f>
        <v>SULLANA</v>
      </c>
      <c r="G1683" s="25" t="str">
        <f ca="1">IFERROR(__xludf.DUMMYFUNCTION("""COMPUTED_VALUE"""),"SULLANA")</f>
        <v>SULLANA</v>
      </c>
      <c r="H1683" s="25" t="str">
        <f ca="1">IFERROR(__xludf.DUMMYFUNCTION("""COMPUTED_VALUE"""),"URBANO")</f>
        <v>URBANO</v>
      </c>
      <c r="I1683" s="25" t="str">
        <f ca="1">IFERROR(__xludf.DUMMYFUNCTION("""COMPUTED_VALUE"""),"Prioridad 1")</f>
        <v>Prioridad 1</v>
      </c>
      <c r="J1683" s="43" t="s">
        <v>262</v>
      </c>
    </row>
    <row r="1684" spans="2:10">
      <c r="B1684" s="25" t="str">
        <f ca="1">IFERROR(__xludf.DUMMYFUNCTION("""COMPUTED_VALUE"""),"MUNICIPALIDAD DISTRITAL")</f>
        <v>MUNICIPALIDAD DISTRITAL</v>
      </c>
      <c r="C1684" s="25" t="str">
        <f ca="1">IFERROR(__xludf.DUMMYFUNCTION("""COMPUTED_VALUE"""),"MUNICIPALIDAD DISTRITAL DE BELLAVISTA EN SULLANA")</f>
        <v>MUNICIPALIDAD DISTRITAL DE BELLAVISTA EN SULLANA</v>
      </c>
      <c r="D1684" s="25" t="str">
        <f ca="1">IFERROR(__xludf.DUMMYFUNCTION("""COMPUTED_VALUE"""),"PIURA")</f>
        <v>PIURA</v>
      </c>
      <c r="E1684" s="25" t="str">
        <f ca="1">IFERROR(__xludf.DUMMYFUNCTION("""COMPUTED_VALUE"""),"PIURA")</f>
        <v>PIURA</v>
      </c>
      <c r="F1684" s="25" t="str">
        <f ca="1">IFERROR(__xludf.DUMMYFUNCTION("""COMPUTED_VALUE"""),"SULLANA")</f>
        <v>SULLANA</v>
      </c>
      <c r="G1684" s="25" t="str">
        <f ca="1">IFERROR(__xludf.DUMMYFUNCTION("""COMPUTED_VALUE"""),"BELLAVISTA")</f>
        <v>BELLAVISTA</v>
      </c>
      <c r="H1684" s="25" t="str">
        <f ca="1">IFERROR(__xludf.DUMMYFUNCTION("""COMPUTED_VALUE"""),"URBANO")</f>
        <v>URBANO</v>
      </c>
      <c r="I1684" s="25" t="str">
        <f ca="1">IFERROR(__xludf.DUMMYFUNCTION("""COMPUTED_VALUE"""),"Prioridad 2")</f>
        <v>Prioridad 2</v>
      </c>
      <c r="J1684" s="43" t="s">
        <v>262</v>
      </c>
    </row>
    <row r="1685" spans="2:10">
      <c r="B1685" s="25" t="str">
        <f ca="1">IFERROR(__xludf.DUMMYFUNCTION("""COMPUTED_VALUE"""),"MUNICIPALIDAD DISTRITAL")</f>
        <v>MUNICIPALIDAD DISTRITAL</v>
      </c>
      <c r="C1685" s="25" t="str">
        <f ca="1">IFERROR(__xludf.DUMMYFUNCTION("""COMPUTED_VALUE"""),"MUNICIPALIDAD DISTRITAL DE MARCAVELICA")</f>
        <v>MUNICIPALIDAD DISTRITAL DE MARCAVELICA</v>
      </c>
      <c r="D1685" s="25" t="str">
        <f ca="1">IFERROR(__xludf.DUMMYFUNCTION("""COMPUTED_VALUE"""),"PIURA")</f>
        <v>PIURA</v>
      </c>
      <c r="E1685" s="25" t="str">
        <f ca="1">IFERROR(__xludf.DUMMYFUNCTION("""COMPUTED_VALUE"""),"PIURA")</f>
        <v>PIURA</v>
      </c>
      <c r="F1685" s="25" t="str">
        <f ca="1">IFERROR(__xludf.DUMMYFUNCTION("""COMPUTED_VALUE"""),"SULLANA")</f>
        <v>SULLANA</v>
      </c>
      <c r="G1685" s="25" t="str">
        <f ca="1">IFERROR(__xludf.DUMMYFUNCTION("""COMPUTED_VALUE"""),"MARCAVELICA")</f>
        <v>MARCAVELICA</v>
      </c>
      <c r="H1685" s="25" t="str">
        <f ca="1">IFERROR(__xludf.DUMMYFUNCTION("""COMPUTED_VALUE"""),"URBANO")</f>
        <v>URBANO</v>
      </c>
      <c r="I1685" s="25" t="str">
        <f ca="1">IFERROR(__xludf.DUMMYFUNCTION("""COMPUTED_VALUE"""),"Prioridad 2")</f>
        <v>Prioridad 2</v>
      </c>
      <c r="J1685" s="43" t="s">
        <v>262</v>
      </c>
    </row>
    <row r="1686" spans="2:10">
      <c r="B1686" s="25" t="str">
        <f ca="1">IFERROR(__xludf.DUMMYFUNCTION("""COMPUTED_VALUE"""),"MUNICIPALIDAD DISTRITAL")</f>
        <v>MUNICIPALIDAD DISTRITAL</v>
      </c>
      <c r="C1686" s="25" t="str">
        <f ca="1">IFERROR(__xludf.DUMMYFUNCTION("""COMPUTED_VALUE"""),"MUNICIPALIDAD DISTRITAL DE SALITRAL EN SULLANA")</f>
        <v>MUNICIPALIDAD DISTRITAL DE SALITRAL EN SULLANA</v>
      </c>
      <c r="D1686" s="25" t="str">
        <f ca="1">IFERROR(__xludf.DUMMYFUNCTION("""COMPUTED_VALUE"""),"PIURA")</f>
        <v>PIURA</v>
      </c>
      <c r="E1686" s="25" t="str">
        <f ca="1">IFERROR(__xludf.DUMMYFUNCTION("""COMPUTED_VALUE"""),"PIURA")</f>
        <v>PIURA</v>
      </c>
      <c r="F1686" s="25" t="str">
        <f ca="1">IFERROR(__xludf.DUMMYFUNCTION("""COMPUTED_VALUE"""),"SULLANA")</f>
        <v>SULLANA</v>
      </c>
      <c r="G1686" s="25" t="str">
        <f ca="1">IFERROR(__xludf.DUMMYFUNCTION("""COMPUTED_VALUE"""),"SALITRAL")</f>
        <v>SALITRAL</v>
      </c>
      <c r="H1686" s="25" t="str">
        <f ca="1">IFERROR(__xludf.DUMMYFUNCTION("""COMPUTED_VALUE"""),"URBANO")</f>
        <v>URBANO</v>
      </c>
      <c r="I1686" s="25" t="str">
        <f ca="1">IFERROR(__xludf.DUMMYFUNCTION("""COMPUTED_VALUE"""),"Prioridad 2")</f>
        <v>Prioridad 2</v>
      </c>
      <c r="J1686" s="43" t="s">
        <v>262</v>
      </c>
    </row>
    <row r="1687" spans="2:10">
      <c r="B1687" s="25" t="str">
        <f ca="1">IFERROR(__xludf.DUMMYFUNCTION("""COMPUTED_VALUE"""),"MUNICIPALIDAD DISTRITAL")</f>
        <v>MUNICIPALIDAD DISTRITAL</v>
      </c>
      <c r="C1687" s="25" t="str">
        <f ca="1">IFERROR(__xludf.DUMMYFUNCTION("""COMPUTED_VALUE"""),"MUNICIPALIDAD DISTRITAL DE QUERECOTILLO")</f>
        <v>MUNICIPALIDAD DISTRITAL DE QUERECOTILLO</v>
      </c>
      <c r="D1687" s="25" t="str">
        <f ca="1">IFERROR(__xludf.DUMMYFUNCTION("""COMPUTED_VALUE"""),"PIURA")</f>
        <v>PIURA</v>
      </c>
      <c r="E1687" s="25" t="str">
        <f ca="1">IFERROR(__xludf.DUMMYFUNCTION("""COMPUTED_VALUE"""),"PIURA")</f>
        <v>PIURA</v>
      </c>
      <c r="F1687" s="25" t="str">
        <f ca="1">IFERROR(__xludf.DUMMYFUNCTION("""COMPUTED_VALUE"""),"SULLANA")</f>
        <v>SULLANA</v>
      </c>
      <c r="G1687" s="25" t="str">
        <f ca="1">IFERROR(__xludf.DUMMYFUNCTION("""COMPUTED_VALUE"""),"QUERECOTILLO")</f>
        <v>QUERECOTILLO</v>
      </c>
      <c r="H1687" s="25" t="str">
        <f ca="1">IFERROR(__xludf.DUMMYFUNCTION("""COMPUTED_VALUE"""),"URBANO")</f>
        <v>URBANO</v>
      </c>
      <c r="I1687" s="25" t="str">
        <f ca="1">IFERROR(__xludf.DUMMYFUNCTION("""COMPUTED_VALUE"""),"Prioridad 2")</f>
        <v>Prioridad 2</v>
      </c>
      <c r="J1687" s="43" t="s">
        <v>262</v>
      </c>
    </row>
    <row r="1688" spans="2:10">
      <c r="B1688" s="25" t="str">
        <f ca="1">IFERROR(__xludf.DUMMYFUNCTION("""COMPUTED_VALUE"""),"MUNICIPALIDAD DISTRITAL")</f>
        <v>MUNICIPALIDAD DISTRITAL</v>
      </c>
      <c r="C1688" s="25" t="str">
        <f ca="1">IFERROR(__xludf.DUMMYFUNCTION("""COMPUTED_VALUE"""),"MUNICIPALIDAD DISTRITAL DE LANCONES")</f>
        <v>MUNICIPALIDAD DISTRITAL DE LANCONES</v>
      </c>
      <c r="D1688" s="25" t="str">
        <f ca="1">IFERROR(__xludf.DUMMYFUNCTION("""COMPUTED_VALUE"""),"PIURA")</f>
        <v>PIURA</v>
      </c>
      <c r="E1688" s="25" t="str">
        <f ca="1">IFERROR(__xludf.DUMMYFUNCTION("""COMPUTED_VALUE"""),"PIURA")</f>
        <v>PIURA</v>
      </c>
      <c r="F1688" s="25" t="str">
        <f ca="1">IFERROR(__xludf.DUMMYFUNCTION("""COMPUTED_VALUE"""),"SULLANA")</f>
        <v>SULLANA</v>
      </c>
      <c r="G1688" s="25" t="str">
        <f ca="1">IFERROR(__xludf.DUMMYFUNCTION("""COMPUTED_VALUE"""),"LANCONES")</f>
        <v>LANCONES</v>
      </c>
      <c r="H1688" s="25" t="str">
        <f ca="1">IFERROR(__xludf.DUMMYFUNCTION("""COMPUTED_VALUE"""),"RURAL")</f>
        <v>RURAL</v>
      </c>
      <c r="I1688" s="25" t="str">
        <f ca="1">IFERROR(__xludf.DUMMYFUNCTION("""COMPUTED_VALUE"""),"Prioridad 4")</f>
        <v>Prioridad 4</v>
      </c>
      <c r="J1688" s="43" t="s">
        <v>262</v>
      </c>
    </row>
    <row r="1689" spans="2:10">
      <c r="B1689" s="25" t="str">
        <f ca="1">IFERROR(__xludf.DUMMYFUNCTION("""COMPUTED_VALUE"""),"MUNICIPALIDAD DISTRITAL")</f>
        <v>MUNICIPALIDAD DISTRITAL</v>
      </c>
      <c r="C1689" s="25" t="str">
        <f ca="1">IFERROR(__xludf.DUMMYFUNCTION("""COMPUTED_VALUE"""),"MUNICIPALIDAD DISTRITAL DE IGNACIO ESCUDERO")</f>
        <v>MUNICIPALIDAD DISTRITAL DE IGNACIO ESCUDERO</v>
      </c>
      <c r="D1689" s="25" t="str">
        <f ca="1">IFERROR(__xludf.DUMMYFUNCTION("""COMPUTED_VALUE"""),"PIURA")</f>
        <v>PIURA</v>
      </c>
      <c r="E1689" s="25" t="str">
        <f ca="1">IFERROR(__xludf.DUMMYFUNCTION("""COMPUTED_VALUE"""),"PIURA")</f>
        <v>PIURA</v>
      </c>
      <c r="F1689" s="25" t="str">
        <f ca="1">IFERROR(__xludf.DUMMYFUNCTION("""COMPUTED_VALUE"""),"SULLANA")</f>
        <v>SULLANA</v>
      </c>
      <c r="G1689" s="25" t="str">
        <f ca="1">IFERROR(__xludf.DUMMYFUNCTION("""COMPUTED_VALUE"""),"IGNACIO ESCUDERO")</f>
        <v>IGNACIO ESCUDERO</v>
      </c>
      <c r="H1689" s="25" t="str">
        <f ca="1">IFERROR(__xludf.DUMMYFUNCTION("""COMPUTED_VALUE"""),"URBANO")</f>
        <v>URBANO</v>
      </c>
      <c r="I1689" s="25" t="str">
        <f ca="1">IFERROR(__xludf.DUMMYFUNCTION("""COMPUTED_VALUE"""),"Prioridad 2")</f>
        <v>Prioridad 2</v>
      </c>
      <c r="J1689" s="43" t="s">
        <v>262</v>
      </c>
    </row>
    <row r="1690" spans="2:10">
      <c r="B1690" s="25" t="str">
        <f ca="1">IFERROR(__xludf.DUMMYFUNCTION("""COMPUTED_VALUE"""),"MUNICIPALIDAD DISTRITAL")</f>
        <v>MUNICIPALIDAD DISTRITAL</v>
      </c>
      <c r="C1690" s="25" t="str">
        <f ca="1">IFERROR(__xludf.DUMMYFUNCTION("""COMPUTED_VALUE"""),"MUNICIPALIDAD DISTRITAL DE MIGUEL CHECA")</f>
        <v>MUNICIPALIDAD DISTRITAL DE MIGUEL CHECA</v>
      </c>
      <c r="D1690" s="25" t="str">
        <f ca="1">IFERROR(__xludf.DUMMYFUNCTION("""COMPUTED_VALUE"""),"PIURA")</f>
        <v>PIURA</v>
      </c>
      <c r="E1690" s="25" t="str">
        <f ca="1">IFERROR(__xludf.DUMMYFUNCTION("""COMPUTED_VALUE"""),"PIURA")</f>
        <v>PIURA</v>
      </c>
      <c r="F1690" s="25" t="str">
        <f ca="1">IFERROR(__xludf.DUMMYFUNCTION("""COMPUTED_VALUE"""),"SULLANA")</f>
        <v>SULLANA</v>
      </c>
      <c r="G1690" s="25" t="str">
        <f ca="1">IFERROR(__xludf.DUMMYFUNCTION("""COMPUTED_VALUE"""),"MIGUEL CHECA")</f>
        <v>MIGUEL CHECA</v>
      </c>
      <c r="H1690" s="25" t="str">
        <f ca="1">IFERROR(__xludf.DUMMYFUNCTION("""COMPUTED_VALUE"""),"URBANO")</f>
        <v>URBANO</v>
      </c>
      <c r="I1690" s="25" t="str">
        <f ca="1">IFERROR(__xludf.DUMMYFUNCTION("""COMPUTED_VALUE"""),"Prioridad 2")</f>
        <v>Prioridad 2</v>
      </c>
      <c r="J1690" s="43" t="s">
        <v>262</v>
      </c>
    </row>
    <row r="1691" spans="2:10">
      <c r="B1691" s="25" t="str">
        <f ca="1">IFERROR(__xludf.DUMMYFUNCTION("""COMPUTED_VALUE"""),"MUNICIPALIDAD PROVINCIAL")</f>
        <v>MUNICIPALIDAD PROVINCIAL</v>
      </c>
      <c r="C1691" s="25" t="str">
        <f ca="1">IFERROR(__xludf.DUMMYFUNCTION("""COMPUTED_VALUE"""),"MUNICIPALIDAD PROVINCIAL DE TALARA")</f>
        <v>MUNICIPALIDAD PROVINCIAL DE TALARA</v>
      </c>
      <c r="D1691" s="25" t="str">
        <f ca="1">IFERROR(__xludf.DUMMYFUNCTION("""COMPUTED_VALUE"""),"PIURA")</f>
        <v>PIURA</v>
      </c>
      <c r="E1691" s="25" t="str">
        <f ca="1">IFERROR(__xludf.DUMMYFUNCTION("""COMPUTED_VALUE"""),"PIURA")</f>
        <v>PIURA</v>
      </c>
      <c r="F1691" s="25" t="str">
        <f ca="1">IFERROR(__xludf.DUMMYFUNCTION("""COMPUTED_VALUE"""),"TALARA")</f>
        <v>TALARA</v>
      </c>
      <c r="G1691" s="25" t="str">
        <f ca="1">IFERROR(__xludf.DUMMYFUNCTION("""COMPUTED_VALUE"""),"PARIÑAS")</f>
        <v>PARIÑAS</v>
      </c>
      <c r="H1691" s="25" t="str">
        <f ca="1">IFERROR(__xludf.DUMMYFUNCTION("""COMPUTED_VALUE"""),"URBANO")</f>
        <v>URBANO</v>
      </c>
      <c r="I1691" s="25" t="str">
        <f ca="1">IFERROR(__xludf.DUMMYFUNCTION("""COMPUTED_VALUE"""),"Prioridad 1")</f>
        <v>Prioridad 1</v>
      </c>
      <c r="J1691" s="43" t="s">
        <v>262</v>
      </c>
    </row>
    <row r="1692" spans="2:10">
      <c r="B1692" s="25" t="str">
        <f ca="1">IFERROR(__xludf.DUMMYFUNCTION("""COMPUTED_VALUE"""),"MUNICIPALIDAD DISTRITAL")</f>
        <v>MUNICIPALIDAD DISTRITAL</v>
      </c>
      <c r="C1692" s="25" t="str">
        <f ca="1">IFERROR(__xludf.DUMMYFUNCTION("""COMPUTED_VALUE"""),"MUNICIPALIDAD DISTRITAL DE EL ALTO")</f>
        <v>MUNICIPALIDAD DISTRITAL DE EL ALTO</v>
      </c>
      <c r="D1692" s="25" t="str">
        <f ca="1">IFERROR(__xludf.DUMMYFUNCTION("""COMPUTED_VALUE"""),"PIURA")</f>
        <v>PIURA</v>
      </c>
      <c r="E1692" s="25" t="str">
        <f ca="1">IFERROR(__xludf.DUMMYFUNCTION("""COMPUTED_VALUE"""),"PIURA")</f>
        <v>PIURA</v>
      </c>
      <c r="F1692" s="25" t="str">
        <f ca="1">IFERROR(__xludf.DUMMYFUNCTION("""COMPUTED_VALUE"""),"TALARA")</f>
        <v>TALARA</v>
      </c>
      <c r="G1692" s="25" t="str">
        <f ca="1">IFERROR(__xludf.DUMMYFUNCTION("""COMPUTED_VALUE"""),"EL ALTO")</f>
        <v>EL ALTO</v>
      </c>
      <c r="H1692" s="25" t="str">
        <f ca="1">IFERROR(__xludf.DUMMYFUNCTION("""COMPUTED_VALUE"""),"URBANO")</f>
        <v>URBANO</v>
      </c>
      <c r="I1692" s="25" t="str">
        <f ca="1">IFERROR(__xludf.DUMMYFUNCTION("""COMPUTED_VALUE"""),"Prioridad 1")</f>
        <v>Prioridad 1</v>
      </c>
      <c r="J1692" s="43" t="s">
        <v>262</v>
      </c>
    </row>
    <row r="1693" spans="2:10">
      <c r="B1693" s="25" t="str">
        <f ca="1">IFERROR(__xludf.DUMMYFUNCTION("""COMPUTED_VALUE"""),"MUNICIPALIDAD DISTRITAL")</f>
        <v>MUNICIPALIDAD DISTRITAL</v>
      </c>
      <c r="C1693" s="25" t="str">
        <f ca="1">IFERROR(__xludf.DUMMYFUNCTION("""COMPUTED_VALUE"""),"MUNICIPALIDAD DISTRITAL DE LA BREA")</f>
        <v>MUNICIPALIDAD DISTRITAL DE LA BREA</v>
      </c>
      <c r="D1693" s="25" t="str">
        <f ca="1">IFERROR(__xludf.DUMMYFUNCTION("""COMPUTED_VALUE"""),"PIURA")</f>
        <v>PIURA</v>
      </c>
      <c r="E1693" s="25" t="str">
        <f ca="1">IFERROR(__xludf.DUMMYFUNCTION("""COMPUTED_VALUE"""),"PIURA")</f>
        <v>PIURA</v>
      </c>
      <c r="F1693" s="25" t="str">
        <f ca="1">IFERROR(__xludf.DUMMYFUNCTION("""COMPUTED_VALUE"""),"TALARA")</f>
        <v>TALARA</v>
      </c>
      <c r="G1693" s="25" t="str">
        <f ca="1">IFERROR(__xludf.DUMMYFUNCTION("""COMPUTED_VALUE"""),"LA BREA")</f>
        <v>LA BREA</v>
      </c>
      <c r="H1693" s="25" t="str">
        <f ca="1">IFERROR(__xludf.DUMMYFUNCTION("""COMPUTED_VALUE"""),"URBANO")</f>
        <v>URBANO</v>
      </c>
      <c r="I1693" s="25" t="str">
        <f ca="1">IFERROR(__xludf.DUMMYFUNCTION("""COMPUTED_VALUE"""),"Prioridad 1")</f>
        <v>Prioridad 1</v>
      </c>
      <c r="J1693" s="43" t="s">
        <v>262</v>
      </c>
    </row>
    <row r="1694" spans="2:10">
      <c r="B1694" s="25" t="str">
        <f ca="1">IFERROR(__xludf.DUMMYFUNCTION("""COMPUTED_VALUE"""),"MUNICIPALIDAD DISTRITAL")</f>
        <v>MUNICIPALIDAD DISTRITAL</v>
      </c>
      <c r="C1694" s="25" t="str">
        <f ca="1">IFERROR(__xludf.DUMMYFUNCTION("""COMPUTED_VALUE"""),"MUNICIPALIDAD DISTRITAL DE LOBITOS")</f>
        <v>MUNICIPALIDAD DISTRITAL DE LOBITOS</v>
      </c>
      <c r="D1694" s="25" t="str">
        <f ca="1">IFERROR(__xludf.DUMMYFUNCTION("""COMPUTED_VALUE"""),"PIURA")</f>
        <v>PIURA</v>
      </c>
      <c r="E1694" s="25" t="str">
        <f ca="1">IFERROR(__xludf.DUMMYFUNCTION("""COMPUTED_VALUE"""),"PIURA")</f>
        <v>PIURA</v>
      </c>
      <c r="F1694" s="25" t="str">
        <f ca="1">IFERROR(__xludf.DUMMYFUNCTION("""COMPUTED_VALUE"""),"TALARA")</f>
        <v>TALARA</v>
      </c>
      <c r="G1694" s="25" t="str">
        <f ca="1">IFERROR(__xludf.DUMMYFUNCTION("""COMPUTED_VALUE"""),"LOBITOS")</f>
        <v>LOBITOS</v>
      </c>
      <c r="H1694" s="25" t="str">
        <f ca="1">IFERROR(__xludf.DUMMYFUNCTION("""COMPUTED_VALUE"""),"RURAL")</f>
        <v>RURAL</v>
      </c>
      <c r="I1694" s="25" t="str">
        <f ca="1">IFERROR(__xludf.DUMMYFUNCTION("""COMPUTED_VALUE"""),"Prioridad 1")</f>
        <v>Prioridad 1</v>
      </c>
      <c r="J1694" s="43" t="s">
        <v>262</v>
      </c>
    </row>
    <row r="1695" spans="2:10">
      <c r="B1695" s="25" t="str">
        <f ca="1">IFERROR(__xludf.DUMMYFUNCTION("""COMPUTED_VALUE"""),"MUNICIPALIDAD DISTRITAL")</f>
        <v>MUNICIPALIDAD DISTRITAL</v>
      </c>
      <c r="C1695" s="25" t="str">
        <f ca="1">IFERROR(__xludf.DUMMYFUNCTION("""COMPUTED_VALUE"""),"MUNICIPALIDAD DISTRITAL DE LOS ORGANOS")</f>
        <v>MUNICIPALIDAD DISTRITAL DE LOS ORGANOS</v>
      </c>
      <c r="D1695" s="25" t="str">
        <f ca="1">IFERROR(__xludf.DUMMYFUNCTION("""COMPUTED_VALUE"""),"PIURA")</f>
        <v>PIURA</v>
      </c>
      <c r="E1695" s="25" t="str">
        <f ca="1">IFERROR(__xludf.DUMMYFUNCTION("""COMPUTED_VALUE"""),"PIURA")</f>
        <v>PIURA</v>
      </c>
      <c r="F1695" s="25" t="str">
        <f ca="1">IFERROR(__xludf.DUMMYFUNCTION("""COMPUTED_VALUE"""),"TALARA")</f>
        <v>TALARA</v>
      </c>
      <c r="G1695" s="25" t="str">
        <f ca="1">IFERROR(__xludf.DUMMYFUNCTION("""COMPUTED_VALUE"""),"LOS ORGANOS")</f>
        <v>LOS ORGANOS</v>
      </c>
      <c r="H1695" s="25" t="str">
        <f ca="1">IFERROR(__xludf.DUMMYFUNCTION("""COMPUTED_VALUE"""),"URBANO")</f>
        <v>URBANO</v>
      </c>
      <c r="I1695" s="25" t="str">
        <f ca="1">IFERROR(__xludf.DUMMYFUNCTION("""COMPUTED_VALUE"""),"Prioridad 1")</f>
        <v>Prioridad 1</v>
      </c>
      <c r="J1695" s="43" t="s">
        <v>262</v>
      </c>
    </row>
    <row r="1696" spans="2:10">
      <c r="B1696" s="25" t="str">
        <f ca="1">IFERROR(__xludf.DUMMYFUNCTION("""COMPUTED_VALUE"""),"MUNICIPALIDAD DISTRITAL")</f>
        <v>MUNICIPALIDAD DISTRITAL</v>
      </c>
      <c r="C1696" s="25" t="str">
        <f ca="1">IFERROR(__xludf.DUMMYFUNCTION("""COMPUTED_VALUE"""),"MUNICIPALIDAD DISTRITAL DE MANCORA")</f>
        <v>MUNICIPALIDAD DISTRITAL DE MANCORA</v>
      </c>
      <c r="D1696" s="25" t="str">
        <f ca="1">IFERROR(__xludf.DUMMYFUNCTION("""COMPUTED_VALUE"""),"PIURA")</f>
        <v>PIURA</v>
      </c>
      <c r="E1696" s="25" t="str">
        <f ca="1">IFERROR(__xludf.DUMMYFUNCTION("""COMPUTED_VALUE"""),"PIURA")</f>
        <v>PIURA</v>
      </c>
      <c r="F1696" s="25" t="str">
        <f ca="1">IFERROR(__xludf.DUMMYFUNCTION("""COMPUTED_VALUE"""),"TALARA")</f>
        <v>TALARA</v>
      </c>
      <c r="G1696" s="25" t="str">
        <f ca="1">IFERROR(__xludf.DUMMYFUNCTION("""COMPUTED_VALUE"""),"MANCORA")</f>
        <v>MANCORA</v>
      </c>
      <c r="H1696" s="25" t="str">
        <f ca="1">IFERROR(__xludf.DUMMYFUNCTION("""COMPUTED_VALUE"""),"URBANO")</f>
        <v>URBANO</v>
      </c>
      <c r="I1696" s="25" t="str">
        <f ca="1">IFERROR(__xludf.DUMMYFUNCTION("""COMPUTED_VALUE"""),"Prioridad 1")</f>
        <v>Prioridad 1</v>
      </c>
      <c r="J1696" s="43" t="s">
        <v>262</v>
      </c>
    </row>
    <row r="1697" spans="2:10">
      <c r="B1697" s="25" t="str">
        <f ca="1">IFERROR(__xludf.DUMMYFUNCTION("""COMPUTED_VALUE"""),"MUNICIPALIDAD PROVINCIAL")</f>
        <v>MUNICIPALIDAD PROVINCIAL</v>
      </c>
      <c r="C1697" s="25" t="str">
        <f ca="1">IFERROR(__xludf.DUMMYFUNCTION("""COMPUTED_VALUE"""),"MUNICIPALIDAD PROVINCIAL DE AZANGARO")</f>
        <v>MUNICIPALIDAD PROVINCIAL DE AZANGARO</v>
      </c>
      <c r="D1697" s="25" t="str">
        <f ca="1">IFERROR(__xludf.DUMMYFUNCTION("""COMPUTED_VALUE"""),"PUNO")</f>
        <v>PUNO</v>
      </c>
      <c r="E1697" s="25" t="str">
        <f ca="1">IFERROR(__xludf.DUMMYFUNCTION("""COMPUTED_VALUE"""),"PUNO")</f>
        <v>PUNO</v>
      </c>
      <c r="F1697" s="25" t="str">
        <f ca="1">IFERROR(__xludf.DUMMYFUNCTION("""COMPUTED_VALUE"""),"AZANGARO")</f>
        <v>AZANGARO</v>
      </c>
      <c r="G1697" s="25" t="str">
        <f ca="1">IFERROR(__xludf.DUMMYFUNCTION("""COMPUTED_VALUE"""),"AZANGARO")</f>
        <v>AZANGARO</v>
      </c>
      <c r="H1697" s="25" t="str">
        <f ca="1">IFERROR(__xludf.DUMMYFUNCTION("""COMPUTED_VALUE"""),"URBANO")</f>
        <v>URBANO</v>
      </c>
      <c r="I1697" s="25" t="str">
        <f ca="1">IFERROR(__xludf.DUMMYFUNCTION("""COMPUTED_VALUE"""),"Prioridad 1")</f>
        <v>Prioridad 1</v>
      </c>
      <c r="J1697" s="43" t="s">
        <v>262</v>
      </c>
    </row>
    <row r="1698" spans="2:10">
      <c r="B1698" s="25" t="str">
        <f ca="1">IFERROR(__xludf.DUMMYFUNCTION("""COMPUTED_VALUE"""),"MUNICIPALIDAD DISTRITAL")</f>
        <v>MUNICIPALIDAD DISTRITAL</v>
      </c>
      <c r="C1698" s="25" t="str">
        <f ca="1">IFERROR(__xludf.DUMMYFUNCTION("""COMPUTED_VALUE"""),"MUNICIPALIDAD DISTRITAL DE ACHAYA")</f>
        <v>MUNICIPALIDAD DISTRITAL DE ACHAYA</v>
      </c>
      <c r="D1698" s="25" t="str">
        <f ca="1">IFERROR(__xludf.DUMMYFUNCTION("""COMPUTED_VALUE"""),"PUNO")</f>
        <v>PUNO</v>
      </c>
      <c r="E1698" s="25" t="str">
        <f ca="1">IFERROR(__xludf.DUMMYFUNCTION("""COMPUTED_VALUE"""),"PUNO")</f>
        <v>PUNO</v>
      </c>
      <c r="F1698" s="25" t="str">
        <f ca="1">IFERROR(__xludf.DUMMYFUNCTION("""COMPUTED_VALUE"""),"AZANGARO")</f>
        <v>AZANGARO</v>
      </c>
      <c r="G1698" s="25" t="str">
        <f ca="1">IFERROR(__xludf.DUMMYFUNCTION("""COMPUTED_VALUE"""),"ACHAYA")</f>
        <v>ACHAYA</v>
      </c>
      <c r="H1698" s="25" t="str">
        <f ca="1">IFERROR(__xludf.DUMMYFUNCTION("""COMPUTED_VALUE"""),"RURAL")</f>
        <v>RURAL</v>
      </c>
      <c r="I1698" s="25" t="str">
        <f ca="1">IFERROR(__xludf.DUMMYFUNCTION("""COMPUTED_VALUE"""),"Prioridad 5")</f>
        <v>Prioridad 5</v>
      </c>
      <c r="J1698" s="43" t="s">
        <v>262</v>
      </c>
    </row>
    <row r="1699" spans="2:10">
      <c r="B1699" s="25" t="str">
        <f ca="1">IFERROR(__xludf.DUMMYFUNCTION("""COMPUTED_VALUE"""),"MUNICIPALIDAD DISTRITAL")</f>
        <v>MUNICIPALIDAD DISTRITAL</v>
      </c>
      <c r="C1699" s="25" t="str">
        <f ca="1">IFERROR(__xludf.DUMMYFUNCTION("""COMPUTED_VALUE"""),"MUNICIPALIDAD DISTRITAL DE ARAPA")</f>
        <v>MUNICIPALIDAD DISTRITAL DE ARAPA</v>
      </c>
      <c r="D1699" s="25" t="str">
        <f ca="1">IFERROR(__xludf.DUMMYFUNCTION("""COMPUTED_VALUE"""),"PUNO")</f>
        <v>PUNO</v>
      </c>
      <c r="E1699" s="25" t="str">
        <f ca="1">IFERROR(__xludf.DUMMYFUNCTION("""COMPUTED_VALUE"""),"PUNO")</f>
        <v>PUNO</v>
      </c>
      <c r="F1699" s="25" t="str">
        <f ca="1">IFERROR(__xludf.DUMMYFUNCTION("""COMPUTED_VALUE"""),"AZANGARO")</f>
        <v>AZANGARO</v>
      </c>
      <c r="G1699" s="25" t="str">
        <f ca="1">IFERROR(__xludf.DUMMYFUNCTION("""COMPUTED_VALUE"""),"ARAPA")</f>
        <v>ARAPA</v>
      </c>
      <c r="H1699" s="25" t="str">
        <f ca="1">IFERROR(__xludf.DUMMYFUNCTION("""COMPUTED_VALUE"""),"RURAL")</f>
        <v>RURAL</v>
      </c>
      <c r="I1699" s="25" t="str">
        <f ca="1">IFERROR(__xludf.DUMMYFUNCTION("""COMPUTED_VALUE"""),"Prioridad 5")</f>
        <v>Prioridad 5</v>
      </c>
      <c r="J1699" s="43" t="s">
        <v>262</v>
      </c>
    </row>
    <row r="1700" spans="2:10">
      <c r="B1700" s="25" t="str">
        <f ca="1">IFERROR(__xludf.DUMMYFUNCTION("""COMPUTED_VALUE"""),"MUNICIPALIDAD DISTRITAL")</f>
        <v>MUNICIPALIDAD DISTRITAL</v>
      </c>
      <c r="C1700" s="25" t="str">
        <f ca="1">IFERROR(__xludf.DUMMYFUNCTION("""COMPUTED_VALUE"""),"MUNICIPALIDAD DISTRITAL DE ASILLO")</f>
        <v>MUNICIPALIDAD DISTRITAL DE ASILLO</v>
      </c>
      <c r="D1700" s="25" t="str">
        <f ca="1">IFERROR(__xludf.DUMMYFUNCTION("""COMPUTED_VALUE"""),"PUNO")</f>
        <v>PUNO</v>
      </c>
      <c r="E1700" s="25" t="str">
        <f ca="1">IFERROR(__xludf.DUMMYFUNCTION("""COMPUTED_VALUE"""),"PUNO")</f>
        <v>PUNO</v>
      </c>
      <c r="F1700" s="25" t="str">
        <f ca="1">IFERROR(__xludf.DUMMYFUNCTION("""COMPUTED_VALUE"""),"AZANGARO")</f>
        <v>AZANGARO</v>
      </c>
      <c r="G1700" s="25" t="str">
        <f ca="1">IFERROR(__xludf.DUMMYFUNCTION("""COMPUTED_VALUE"""),"ASILLO")</f>
        <v>ASILLO</v>
      </c>
      <c r="H1700" s="25" t="str">
        <f ca="1">IFERROR(__xludf.DUMMYFUNCTION("""COMPUTED_VALUE"""),"RURAL")</f>
        <v>RURAL</v>
      </c>
      <c r="I1700" s="25" t="str">
        <f ca="1">IFERROR(__xludf.DUMMYFUNCTION("""COMPUTED_VALUE"""),"Prioridad 2")</f>
        <v>Prioridad 2</v>
      </c>
      <c r="J1700" s="43" t="s">
        <v>262</v>
      </c>
    </row>
    <row r="1701" spans="2:10">
      <c r="B1701" s="25" t="str">
        <f ca="1">IFERROR(__xludf.DUMMYFUNCTION("""COMPUTED_VALUE"""),"MUNICIPALIDAD DISTRITAL")</f>
        <v>MUNICIPALIDAD DISTRITAL</v>
      </c>
      <c r="C1701" s="25" t="str">
        <f ca="1">IFERROR(__xludf.DUMMYFUNCTION("""COMPUTED_VALUE"""),"MUNICIPALIDAD DISTRITAL DE CAMINACA")</f>
        <v>MUNICIPALIDAD DISTRITAL DE CAMINACA</v>
      </c>
      <c r="D1701" s="25" t="str">
        <f ca="1">IFERROR(__xludf.DUMMYFUNCTION("""COMPUTED_VALUE"""),"PUNO")</f>
        <v>PUNO</v>
      </c>
      <c r="E1701" s="25" t="str">
        <f ca="1">IFERROR(__xludf.DUMMYFUNCTION("""COMPUTED_VALUE"""),"PUNO")</f>
        <v>PUNO</v>
      </c>
      <c r="F1701" s="25" t="str">
        <f ca="1">IFERROR(__xludf.DUMMYFUNCTION("""COMPUTED_VALUE"""),"AZANGARO")</f>
        <v>AZANGARO</v>
      </c>
      <c r="G1701" s="25" t="str">
        <f ca="1">IFERROR(__xludf.DUMMYFUNCTION("""COMPUTED_VALUE"""),"CAMINACA")</f>
        <v>CAMINACA</v>
      </c>
      <c r="H1701" s="25" t="str">
        <f ca="1">IFERROR(__xludf.DUMMYFUNCTION("""COMPUTED_VALUE"""),"RURAL")</f>
        <v>RURAL</v>
      </c>
      <c r="I1701" s="25" t="str">
        <f ca="1">IFERROR(__xludf.DUMMYFUNCTION("""COMPUTED_VALUE"""),"Prioridad 5")</f>
        <v>Prioridad 5</v>
      </c>
      <c r="J1701" s="43" t="s">
        <v>262</v>
      </c>
    </row>
    <row r="1702" spans="2:10">
      <c r="B1702" s="25" t="str">
        <f ca="1">IFERROR(__xludf.DUMMYFUNCTION("""COMPUTED_VALUE"""),"COLEGIO PROFESIONAL")</f>
        <v>COLEGIO PROFESIONAL</v>
      </c>
      <c r="C1702" s="25" t="str">
        <f ca="1">IFERROR(__xludf.DUMMYFUNCTION("""COMPUTED_VALUE"""),"COLEGIO DE ABOGADOS DEL SANTA")</f>
        <v>COLEGIO DE ABOGADOS DEL SANTA</v>
      </c>
      <c r="D1702" s="25" t="str">
        <f ca="1">IFERROR(__xludf.DUMMYFUNCTION("""COMPUTED_VALUE"""),"LA LIBERTAD")</f>
        <v>LA LIBERTAD</v>
      </c>
      <c r="E1702" s="25" t="str">
        <f ca="1">IFERROR(__xludf.DUMMYFUNCTION("""COMPUTED_VALUE"""),"ANCASH")</f>
        <v>ANCASH</v>
      </c>
      <c r="F1702" s="25" t="str">
        <f ca="1">IFERROR(__xludf.DUMMYFUNCTION("""COMPUTED_VALUE"""),"SANTA")</f>
        <v>SANTA</v>
      </c>
      <c r="G1702" s="25" t="str">
        <f ca="1">IFERROR(__xludf.DUMMYFUNCTION("""COMPUTED_VALUE"""),"CHIMBOTE")</f>
        <v>CHIMBOTE</v>
      </c>
      <c r="H1702" s="25"/>
      <c r="I1702" s="25" t="str">
        <f ca="1">IFERROR(__xludf.DUMMYFUNCTION("""COMPUTED_VALUE"""),"Prioridad 1")</f>
        <v>Prioridad 1</v>
      </c>
      <c r="J1702" s="43" t="s">
        <v>262</v>
      </c>
    </row>
    <row r="1703" spans="2:10">
      <c r="B1703" s="25" t="str">
        <f ca="1">IFERROR(__xludf.DUMMYFUNCTION("""COMPUTED_VALUE"""),"UNIVERSIDAD PRIVADA")</f>
        <v>UNIVERSIDAD PRIVADA</v>
      </c>
      <c r="C1703" s="25" t="str">
        <f ca="1">IFERROR(__xludf.DUMMYFUNCTION("""COMPUTED_VALUE"""),"UNIVERSIDAD PERUANA DEL ORIENTE S.A.C.")</f>
        <v>UNIVERSIDAD PERUANA DEL ORIENTE S.A.C.</v>
      </c>
      <c r="D1703" s="25" t="str">
        <f ca="1">IFERROR(__xludf.DUMMYFUNCTION("""COMPUTED_VALUE"""),"LORETO")</f>
        <v>LORETO</v>
      </c>
      <c r="E1703" s="25" t="str">
        <f ca="1">IFERROR(__xludf.DUMMYFUNCTION("""COMPUTED_VALUE"""),"LORETO")</f>
        <v>LORETO</v>
      </c>
      <c r="F1703" s="25" t="str">
        <f ca="1">IFERROR(__xludf.DUMMYFUNCTION("""COMPUTED_VALUE"""),"MAYNAS")</f>
        <v>MAYNAS</v>
      </c>
      <c r="G1703" s="25" t="str">
        <f ca="1">IFERROR(__xludf.DUMMYFUNCTION("""COMPUTED_VALUE"""),"SAN JUAN BAUTISTA")</f>
        <v>SAN JUAN BAUTISTA</v>
      </c>
      <c r="H1703" s="25"/>
      <c r="I1703" s="25" t="str">
        <f ca="1">IFERROR(__xludf.DUMMYFUNCTION("""COMPUTED_VALUE"""),"Prioridad 5")</f>
        <v>Prioridad 5</v>
      </c>
      <c r="J1703" s="43" t="s">
        <v>262</v>
      </c>
    </row>
    <row r="1704" spans="2:10">
      <c r="B1704" s="25" t="str">
        <f ca="1">IFERROR(__xludf.DUMMYFUNCTION("""COMPUTED_VALUE"""),"UNIVERSIDAD PRIVADA")</f>
        <v>UNIVERSIDAD PRIVADA</v>
      </c>
      <c r="C1704" s="25" t="str">
        <f ca="1">IFERROR(__xludf.DUMMYFUNCTION("""COMPUTED_VALUE"""),"UNIVERSIDAD PRIVADA DE LA SELVA PERUANA S.A.C.")</f>
        <v>UNIVERSIDAD PRIVADA DE LA SELVA PERUANA S.A.C.</v>
      </c>
      <c r="D1704" s="25" t="str">
        <f ca="1">IFERROR(__xludf.DUMMYFUNCTION("""COMPUTED_VALUE"""),"LORETO")</f>
        <v>LORETO</v>
      </c>
      <c r="E1704" s="25" t="str">
        <f ca="1">IFERROR(__xludf.DUMMYFUNCTION("""COMPUTED_VALUE"""),"LORETO")</f>
        <v>LORETO</v>
      </c>
      <c r="F1704" s="25" t="str">
        <f ca="1">IFERROR(__xludf.DUMMYFUNCTION("""COMPUTED_VALUE"""),"MAYNAS")</f>
        <v>MAYNAS</v>
      </c>
      <c r="G1704" s="25" t="str">
        <f ca="1">IFERROR(__xludf.DUMMYFUNCTION("""COMPUTED_VALUE"""),"SAN JUAN BAUTISTA")</f>
        <v>SAN JUAN BAUTISTA</v>
      </c>
      <c r="H1704" s="25"/>
      <c r="I1704" s="25" t="str">
        <f ca="1">IFERROR(__xludf.DUMMYFUNCTION("""COMPUTED_VALUE"""),"Prioridad 5")</f>
        <v>Prioridad 5</v>
      </c>
      <c r="J1704" s="43" t="s">
        <v>262</v>
      </c>
    </row>
    <row r="1705" spans="2:10">
      <c r="B1705" s="25" t="str">
        <f ca="1">IFERROR(__xludf.DUMMYFUNCTION("""COMPUTED_VALUE"""),"MUNICIPALIDAD DISTRITAL")</f>
        <v>MUNICIPALIDAD DISTRITAL</v>
      </c>
      <c r="C1705" s="25" t="str">
        <f ca="1">IFERROR(__xludf.DUMMYFUNCTION("""COMPUTED_VALUE"""),"MUNICIPALIDAD DISTRITAL DE CHUPA")</f>
        <v>MUNICIPALIDAD DISTRITAL DE CHUPA</v>
      </c>
      <c r="D1705" s="25" t="str">
        <f ca="1">IFERROR(__xludf.DUMMYFUNCTION("""COMPUTED_VALUE"""),"PUNO")</f>
        <v>PUNO</v>
      </c>
      <c r="E1705" s="25" t="str">
        <f ca="1">IFERROR(__xludf.DUMMYFUNCTION("""COMPUTED_VALUE"""),"PUNO")</f>
        <v>PUNO</v>
      </c>
      <c r="F1705" s="25" t="str">
        <f ca="1">IFERROR(__xludf.DUMMYFUNCTION("""COMPUTED_VALUE"""),"AZANGARO")</f>
        <v>AZANGARO</v>
      </c>
      <c r="G1705" s="25" t="str">
        <f ca="1">IFERROR(__xludf.DUMMYFUNCTION("""COMPUTED_VALUE"""),"CHUPA")</f>
        <v>CHUPA</v>
      </c>
      <c r="H1705" s="25" t="str">
        <f ca="1">IFERROR(__xludf.DUMMYFUNCTION("""COMPUTED_VALUE"""),"RURAL")</f>
        <v>RURAL</v>
      </c>
      <c r="I1705" s="25" t="str">
        <f ca="1">IFERROR(__xludf.DUMMYFUNCTION("""COMPUTED_VALUE"""),"Prioridad 5")</f>
        <v>Prioridad 5</v>
      </c>
      <c r="J1705" s="43" t="s">
        <v>262</v>
      </c>
    </row>
    <row r="1706" spans="2:10">
      <c r="B1706" s="25" t="str">
        <f ca="1">IFERROR(__xludf.DUMMYFUNCTION("""COMPUTED_VALUE"""),"MUNICIPALIDAD DISTRITAL")</f>
        <v>MUNICIPALIDAD DISTRITAL</v>
      </c>
      <c r="C1706" s="25" t="str">
        <f ca="1">IFERROR(__xludf.DUMMYFUNCTION("""COMPUTED_VALUE"""),"MUNICIPALIDAD DISTRITAL DE JOSE DOMINGO CHOQUEHUANCA")</f>
        <v>MUNICIPALIDAD DISTRITAL DE JOSE DOMINGO CHOQUEHUANCA</v>
      </c>
      <c r="D1706" s="25" t="str">
        <f ca="1">IFERROR(__xludf.DUMMYFUNCTION("""COMPUTED_VALUE"""),"PUNO")</f>
        <v>PUNO</v>
      </c>
      <c r="E1706" s="25" t="str">
        <f ca="1">IFERROR(__xludf.DUMMYFUNCTION("""COMPUTED_VALUE"""),"PUNO")</f>
        <v>PUNO</v>
      </c>
      <c r="F1706" s="25" t="str">
        <f ca="1">IFERROR(__xludf.DUMMYFUNCTION("""COMPUTED_VALUE"""),"AZANGARO")</f>
        <v>AZANGARO</v>
      </c>
      <c r="G1706" s="25" t="str">
        <f ca="1">IFERROR(__xludf.DUMMYFUNCTION("""COMPUTED_VALUE"""),"JOSE DOMINGO CHOQUEHUANCA")</f>
        <v>JOSE DOMINGO CHOQUEHUANCA</v>
      </c>
      <c r="H1706" s="25" t="str">
        <f ca="1">IFERROR(__xludf.DUMMYFUNCTION("""COMPUTED_VALUE"""),"URBANO")</f>
        <v>URBANO</v>
      </c>
      <c r="I1706" s="25" t="str">
        <f ca="1">IFERROR(__xludf.DUMMYFUNCTION("""COMPUTED_VALUE"""),"Prioridad 3")</f>
        <v>Prioridad 3</v>
      </c>
      <c r="J1706" s="43" t="s">
        <v>262</v>
      </c>
    </row>
    <row r="1707" spans="2:10">
      <c r="B1707" s="25" t="str">
        <f ca="1">IFERROR(__xludf.DUMMYFUNCTION("""COMPUTED_VALUE"""),"MUNICIPALIDAD DISTRITAL")</f>
        <v>MUNICIPALIDAD DISTRITAL</v>
      </c>
      <c r="C1707" s="25" t="str">
        <f ca="1">IFERROR(__xludf.DUMMYFUNCTION("""COMPUTED_VALUE"""),"MUNICIPALIDAD DISTRITAL DE MUÑANI")</f>
        <v>MUNICIPALIDAD DISTRITAL DE MUÑANI</v>
      </c>
      <c r="D1707" s="25" t="str">
        <f ca="1">IFERROR(__xludf.DUMMYFUNCTION("""COMPUTED_VALUE"""),"PUNO")</f>
        <v>PUNO</v>
      </c>
      <c r="E1707" s="25" t="str">
        <f ca="1">IFERROR(__xludf.DUMMYFUNCTION("""COMPUTED_VALUE"""),"PUNO")</f>
        <v>PUNO</v>
      </c>
      <c r="F1707" s="25" t="str">
        <f ca="1">IFERROR(__xludf.DUMMYFUNCTION("""COMPUTED_VALUE"""),"AZANGARO")</f>
        <v>AZANGARO</v>
      </c>
      <c r="G1707" s="25" t="str">
        <f ca="1">IFERROR(__xludf.DUMMYFUNCTION("""COMPUTED_VALUE"""),"MUÑANI")</f>
        <v>MUÑANI</v>
      </c>
      <c r="H1707" s="25" t="str">
        <f ca="1">IFERROR(__xludf.DUMMYFUNCTION("""COMPUTED_VALUE"""),"RURAL")</f>
        <v>RURAL</v>
      </c>
      <c r="I1707" s="25" t="str">
        <f ca="1">IFERROR(__xludf.DUMMYFUNCTION("""COMPUTED_VALUE"""),"Prioridad 5")</f>
        <v>Prioridad 5</v>
      </c>
      <c r="J1707" s="43" t="s">
        <v>262</v>
      </c>
    </row>
    <row r="1708" spans="2:10">
      <c r="B1708" s="25" t="str">
        <f ca="1">IFERROR(__xludf.DUMMYFUNCTION("""COMPUTED_VALUE"""),"MUNICIPALIDAD DISTRITAL")</f>
        <v>MUNICIPALIDAD DISTRITAL</v>
      </c>
      <c r="C1708" s="25" t="str">
        <f ca="1">IFERROR(__xludf.DUMMYFUNCTION("""COMPUTED_VALUE"""),"MUNICIPALIDAD DISTRITAL DE POTONI")</f>
        <v>MUNICIPALIDAD DISTRITAL DE POTONI</v>
      </c>
      <c r="D1708" s="25" t="str">
        <f ca="1">IFERROR(__xludf.DUMMYFUNCTION("""COMPUTED_VALUE"""),"PUNO")</f>
        <v>PUNO</v>
      </c>
      <c r="E1708" s="25" t="str">
        <f ca="1">IFERROR(__xludf.DUMMYFUNCTION("""COMPUTED_VALUE"""),"PUNO")</f>
        <v>PUNO</v>
      </c>
      <c r="F1708" s="25" t="str">
        <f ca="1">IFERROR(__xludf.DUMMYFUNCTION("""COMPUTED_VALUE"""),"AZANGARO")</f>
        <v>AZANGARO</v>
      </c>
      <c r="G1708" s="25" t="str">
        <f ca="1">IFERROR(__xludf.DUMMYFUNCTION("""COMPUTED_VALUE"""),"POTONI")</f>
        <v>POTONI</v>
      </c>
      <c r="H1708" s="25" t="str">
        <f ca="1">IFERROR(__xludf.DUMMYFUNCTION("""COMPUTED_VALUE"""),"RURAL")</f>
        <v>RURAL</v>
      </c>
      <c r="I1708" s="25" t="str">
        <f ca="1">IFERROR(__xludf.DUMMYFUNCTION("""COMPUTED_VALUE"""),"Prioridad 5")</f>
        <v>Prioridad 5</v>
      </c>
      <c r="J1708" s="43" t="s">
        <v>262</v>
      </c>
    </row>
    <row r="1709" spans="2:10">
      <c r="B1709" s="25" t="str">
        <f ca="1">IFERROR(__xludf.DUMMYFUNCTION("""COMPUTED_VALUE"""),"MUNICIPALIDAD DISTRITAL")</f>
        <v>MUNICIPALIDAD DISTRITAL</v>
      </c>
      <c r="C1709" s="25" t="str">
        <f ca="1">IFERROR(__xludf.DUMMYFUNCTION("""COMPUTED_VALUE"""),"MUNICIPALIDAD DISTRITAL DE SAMAN")</f>
        <v>MUNICIPALIDAD DISTRITAL DE SAMAN</v>
      </c>
      <c r="D1709" s="25" t="str">
        <f ca="1">IFERROR(__xludf.DUMMYFUNCTION("""COMPUTED_VALUE"""),"PUNO")</f>
        <v>PUNO</v>
      </c>
      <c r="E1709" s="25" t="str">
        <f ca="1">IFERROR(__xludf.DUMMYFUNCTION("""COMPUTED_VALUE"""),"PUNO")</f>
        <v>PUNO</v>
      </c>
      <c r="F1709" s="25" t="str">
        <f ca="1">IFERROR(__xludf.DUMMYFUNCTION("""COMPUTED_VALUE"""),"AZANGARO")</f>
        <v>AZANGARO</v>
      </c>
      <c r="G1709" s="25" t="str">
        <f ca="1">IFERROR(__xludf.DUMMYFUNCTION("""COMPUTED_VALUE"""),"SAMAN")</f>
        <v>SAMAN</v>
      </c>
      <c r="H1709" s="25" t="str">
        <f ca="1">IFERROR(__xludf.DUMMYFUNCTION("""COMPUTED_VALUE"""),"RURAL")</f>
        <v>RURAL</v>
      </c>
      <c r="I1709" s="25" t="str">
        <f ca="1">IFERROR(__xludf.DUMMYFUNCTION("""COMPUTED_VALUE"""),"Prioridad 5")</f>
        <v>Prioridad 5</v>
      </c>
      <c r="J1709" s="43" t="s">
        <v>262</v>
      </c>
    </row>
    <row r="1710" spans="2:10">
      <c r="B1710" s="25" t="str">
        <f ca="1">IFERROR(__xludf.DUMMYFUNCTION("""COMPUTED_VALUE"""),"MUNICIPALIDAD DISTRITAL")</f>
        <v>MUNICIPALIDAD DISTRITAL</v>
      </c>
      <c r="C1710" s="25" t="str">
        <f ca="1">IFERROR(__xludf.DUMMYFUNCTION("""COMPUTED_VALUE"""),"MUNICIPALIDAD DISTRITAL DE SAN ANTON")</f>
        <v>MUNICIPALIDAD DISTRITAL DE SAN ANTON</v>
      </c>
      <c r="D1710" s="25" t="str">
        <f ca="1">IFERROR(__xludf.DUMMYFUNCTION("""COMPUTED_VALUE"""),"PUNO")</f>
        <v>PUNO</v>
      </c>
      <c r="E1710" s="25" t="str">
        <f ca="1">IFERROR(__xludf.DUMMYFUNCTION("""COMPUTED_VALUE"""),"PUNO")</f>
        <v>PUNO</v>
      </c>
      <c r="F1710" s="25" t="str">
        <f ca="1">IFERROR(__xludf.DUMMYFUNCTION("""COMPUTED_VALUE"""),"AZANGARO")</f>
        <v>AZANGARO</v>
      </c>
      <c r="G1710" s="25" t="str">
        <f ca="1">IFERROR(__xludf.DUMMYFUNCTION("""COMPUTED_VALUE"""),"SAN ANTON")</f>
        <v>SAN ANTON</v>
      </c>
      <c r="H1710" s="25" t="str">
        <f ca="1">IFERROR(__xludf.DUMMYFUNCTION("""COMPUTED_VALUE"""),"RURAL")</f>
        <v>RURAL</v>
      </c>
      <c r="I1710" s="25" t="str">
        <f ca="1">IFERROR(__xludf.DUMMYFUNCTION("""COMPUTED_VALUE"""),"Prioridad 3")</f>
        <v>Prioridad 3</v>
      </c>
      <c r="J1710" s="43" t="s">
        <v>262</v>
      </c>
    </row>
    <row r="1711" spans="2:10">
      <c r="B1711" s="25" t="str">
        <f ca="1">IFERROR(__xludf.DUMMYFUNCTION("""COMPUTED_VALUE"""),"MUNICIPALIDAD DISTRITAL")</f>
        <v>MUNICIPALIDAD DISTRITAL</v>
      </c>
      <c r="C1711" s="25" t="str">
        <f ca="1">IFERROR(__xludf.DUMMYFUNCTION("""COMPUTED_VALUE"""),"MUNICIPALIDAD DISTRITAL DE SAN JOSE EN AZANGARO")</f>
        <v>MUNICIPALIDAD DISTRITAL DE SAN JOSE EN AZANGARO</v>
      </c>
      <c r="D1711" s="25" t="str">
        <f ca="1">IFERROR(__xludf.DUMMYFUNCTION("""COMPUTED_VALUE"""),"PUNO")</f>
        <v>PUNO</v>
      </c>
      <c r="E1711" s="25" t="str">
        <f ca="1">IFERROR(__xludf.DUMMYFUNCTION("""COMPUTED_VALUE"""),"PUNO")</f>
        <v>PUNO</v>
      </c>
      <c r="F1711" s="25" t="str">
        <f ca="1">IFERROR(__xludf.DUMMYFUNCTION("""COMPUTED_VALUE"""),"AZANGARO")</f>
        <v>AZANGARO</v>
      </c>
      <c r="G1711" s="25" t="str">
        <f ca="1">IFERROR(__xludf.DUMMYFUNCTION("""COMPUTED_VALUE"""),"SAN JOSE")</f>
        <v>SAN JOSE</v>
      </c>
      <c r="H1711" s="25" t="str">
        <f ca="1">IFERROR(__xludf.DUMMYFUNCTION("""COMPUTED_VALUE"""),"RURAL")</f>
        <v>RURAL</v>
      </c>
      <c r="I1711" s="25" t="str">
        <f ca="1">IFERROR(__xludf.DUMMYFUNCTION("""COMPUTED_VALUE"""),"Prioridad 5")</f>
        <v>Prioridad 5</v>
      </c>
      <c r="J1711" s="43" t="s">
        <v>262</v>
      </c>
    </row>
    <row r="1712" spans="2:10">
      <c r="B1712" s="25" t="str">
        <f ca="1">IFERROR(__xludf.DUMMYFUNCTION("""COMPUTED_VALUE"""),"MUNICIPALIDAD DISTRITAL")</f>
        <v>MUNICIPALIDAD DISTRITAL</v>
      </c>
      <c r="C1712" s="25" t="str">
        <f ca="1">IFERROR(__xludf.DUMMYFUNCTION("""COMPUTED_VALUE"""),"MUNICIPALIDAD DISTRITAL DE SAN JUAN DE SALINAS")</f>
        <v>MUNICIPALIDAD DISTRITAL DE SAN JUAN DE SALINAS</v>
      </c>
      <c r="D1712" s="25" t="str">
        <f ca="1">IFERROR(__xludf.DUMMYFUNCTION("""COMPUTED_VALUE"""),"PUNO")</f>
        <v>PUNO</v>
      </c>
      <c r="E1712" s="25" t="str">
        <f ca="1">IFERROR(__xludf.DUMMYFUNCTION("""COMPUTED_VALUE"""),"PUNO")</f>
        <v>PUNO</v>
      </c>
      <c r="F1712" s="25" t="str">
        <f ca="1">IFERROR(__xludf.DUMMYFUNCTION("""COMPUTED_VALUE"""),"AZANGARO")</f>
        <v>AZANGARO</v>
      </c>
      <c r="G1712" s="25" t="str">
        <f ca="1">IFERROR(__xludf.DUMMYFUNCTION("""COMPUTED_VALUE"""),"SAN JUAN DE SALINAS")</f>
        <v>SAN JUAN DE SALINAS</v>
      </c>
      <c r="H1712" s="25" t="str">
        <f ca="1">IFERROR(__xludf.DUMMYFUNCTION("""COMPUTED_VALUE"""),"RURAL")</f>
        <v>RURAL</v>
      </c>
      <c r="I1712" s="25" t="str">
        <f ca="1">IFERROR(__xludf.DUMMYFUNCTION("""COMPUTED_VALUE"""),"Prioridad 5")</f>
        <v>Prioridad 5</v>
      </c>
      <c r="J1712" s="43" t="s">
        <v>262</v>
      </c>
    </row>
    <row r="1713" spans="2:10">
      <c r="B1713" s="25" t="str">
        <f ca="1">IFERROR(__xludf.DUMMYFUNCTION("""COMPUTED_VALUE"""),"MUNICIPALIDAD DISTRITAL")</f>
        <v>MUNICIPALIDAD DISTRITAL</v>
      </c>
      <c r="C1713" s="25" t="str">
        <f ca="1">IFERROR(__xludf.DUMMYFUNCTION("""COMPUTED_VALUE"""),"MUNICIPALIDAD DISTRITAL DE SANTIAGO DE PUPUJA")</f>
        <v>MUNICIPALIDAD DISTRITAL DE SANTIAGO DE PUPUJA</v>
      </c>
      <c r="D1713" s="25" t="str">
        <f ca="1">IFERROR(__xludf.DUMMYFUNCTION("""COMPUTED_VALUE"""),"PUNO")</f>
        <v>PUNO</v>
      </c>
      <c r="E1713" s="25" t="str">
        <f ca="1">IFERROR(__xludf.DUMMYFUNCTION("""COMPUTED_VALUE"""),"PUNO")</f>
        <v>PUNO</v>
      </c>
      <c r="F1713" s="25" t="str">
        <f ca="1">IFERROR(__xludf.DUMMYFUNCTION("""COMPUTED_VALUE"""),"AZANGARO")</f>
        <v>AZANGARO</v>
      </c>
      <c r="G1713" s="25" t="str">
        <f ca="1">IFERROR(__xludf.DUMMYFUNCTION("""COMPUTED_VALUE"""),"SANTIAGO DE PUPUJA")</f>
        <v>SANTIAGO DE PUPUJA</v>
      </c>
      <c r="H1713" s="25" t="str">
        <f ca="1">IFERROR(__xludf.DUMMYFUNCTION("""COMPUTED_VALUE"""),"RURAL")</f>
        <v>RURAL</v>
      </c>
      <c r="I1713" s="25" t="str">
        <f ca="1">IFERROR(__xludf.DUMMYFUNCTION("""COMPUTED_VALUE"""),"Prioridad 5")</f>
        <v>Prioridad 5</v>
      </c>
      <c r="J1713" s="43" t="s">
        <v>262</v>
      </c>
    </row>
    <row r="1714" spans="2:10">
      <c r="B1714" s="25" t="str">
        <f ca="1">IFERROR(__xludf.DUMMYFUNCTION("""COMPUTED_VALUE"""),"MUNICIPALIDAD DISTRITAL")</f>
        <v>MUNICIPALIDAD DISTRITAL</v>
      </c>
      <c r="C1714" s="25" t="str">
        <f ca="1">IFERROR(__xludf.DUMMYFUNCTION("""COMPUTED_VALUE"""),"MUNICIPALIDAD DISTRITAL DE TIRAPATA")</f>
        <v>MUNICIPALIDAD DISTRITAL DE TIRAPATA</v>
      </c>
      <c r="D1714" s="25" t="str">
        <f ca="1">IFERROR(__xludf.DUMMYFUNCTION("""COMPUTED_VALUE"""),"PUNO")</f>
        <v>PUNO</v>
      </c>
      <c r="E1714" s="25" t="str">
        <f ca="1">IFERROR(__xludf.DUMMYFUNCTION("""COMPUTED_VALUE"""),"PUNO")</f>
        <v>PUNO</v>
      </c>
      <c r="F1714" s="25" t="str">
        <f ca="1">IFERROR(__xludf.DUMMYFUNCTION("""COMPUTED_VALUE"""),"AZANGARO")</f>
        <v>AZANGARO</v>
      </c>
      <c r="G1714" s="25" t="str">
        <f ca="1">IFERROR(__xludf.DUMMYFUNCTION("""COMPUTED_VALUE"""),"TIRAPATA")</f>
        <v>TIRAPATA</v>
      </c>
      <c r="H1714" s="25" t="str">
        <f ca="1">IFERROR(__xludf.DUMMYFUNCTION("""COMPUTED_VALUE"""),"RURAL")</f>
        <v>RURAL</v>
      </c>
      <c r="I1714" s="25" t="str">
        <f ca="1">IFERROR(__xludf.DUMMYFUNCTION("""COMPUTED_VALUE"""),"Prioridad 5")</f>
        <v>Prioridad 5</v>
      </c>
      <c r="J1714" s="43" t="s">
        <v>262</v>
      </c>
    </row>
    <row r="1715" spans="2:10">
      <c r="B1715" s="25" t="str">
        <f ca="1">IFERROR(__xludf.DUMMYFUNCTION("""COMPUTED_VALUE"""),"MUNICIPALIDAD DISTRITAL")</f>
        <v>MUNICIPALIDAD DISTRITAL</v>
      </c>
      <c r="C1715" s="25" t="str">
        <f ca="1">IFERROR(__xludf.DUMMYFUNCTION("""COMPUTED_VALUE"""),"MUNICIPALIDAD DISTRITAL DE AJOYANI")</f>
        <v>MUNICIPALIDAD DISTRITAL DE AJOYANI</v>
      </c>
      <c r="D1715" s="25" t="str">
        <f ca="1">IFERROR(__xludf.DUMMYFUNCTION("""COMPUTED_VALUE"""),"PUNO")</f>
        <v>PUNO</v>
      </c>
      <c r="E1715" s="25" t="str">
        <f ca="1">IFERROR(__xludf.DUMMYFUNCTION("""COMPUTED_VALUE"""),"PUNO")</f>
        <v>PUNO</v>
      </c>
      <c r="F1715" s="25" t="str">
        <f ca="1">IFERROR(__xludf.DUMMYFUNCTION("""COMPUTED_VALUE"""),"CARABAYA")</f>
        <v>CARABAYA</v>
      </c>
      <c r="G1715" s="25" t="str">
        <f ca="1">IFERROR(__xludf.DUMMYFUNCTION("""COMPUTED_VALUE"""),"AJOYANI")</f>
        <v>AJOYANI</v>
      </c>
      <c r="H1715" s="25" t="str">
        <f ca="1">IFERROR(__xludf.DUMMYFUNCTION("""COMPUTED_VALUE"""),"RURAL")</f>
        <v>RURAL</v>
      </c>
      <c r="I1715" s="25" t="str">
        <f ca="1">IFERROR(__xludf.DUMMYFUNCTION("""COMPUTED_VALUE"""),"Prioridad 2")</f>
        <v>Prioridad 2</v>
      </c>
      <c r="J1715" s="43" t="s">
        <v>262</v>
      </c>
    </row>
    <row r="1716" spans="2:10">
      <c r="B1716" s="25" t="str">
        <f ca="1">IFERROR(__xludf.DUMMYFUNCTION("""COMPUTED_VALUE"""),"MUNICIPALIDAD DISTRITAL")</f>
        <v>MUNICIPALIDAD DISTRITAL</v>
      </c>
      <c r="C1716" s="25" t="str">
        <f ca="1">IFERROR(__xludf.DUMMYFUNCTION("""COMPUTED_VALUE"""),"MUNICIPALIDAD DISTRITAL DE AYAPATA")</f>
        <v>MUNICIPALIDAD DISTRITAL DE AYAPATA</v>
      </c>
      <c r="D1716" s="25" t="str">
        <f ca="1">IFERROR(__xludf.DUMMYFUNCTION("""COMPUTED_VALUE"""),"PUNO")</f>
        <v>PUNO</v>
      </c>
      <c r="E1716" s="25" t="str">
        <f ca="1">IFERROR(__xludf.DUMMYFUNCTION("""COMPUTED_VALUE"""),"PUNO")</f>
        <v>PUNO</v>
      </c>
      <c r="F1716" s="25" t="str">
        <f ca="1">IFERROR(__xludf.DUMMYFUNCTION("""COMPUTED_VALUE"""),"CARABAYA")</f>
        <v>CARABAYA</v>
      </c>
      <c r="G1716" s="25" t="str">
        <f ca="1">IFERROR(__xludf.DUMMYFUNCTION("""COMPUTED_VALUE"""),"AYAPATA")</f>
        <v>AYAPATA</v>
      </c>
      <c r="H1716" s="25" t="str">
        <f ca="1">IFERROR(__xludf.DUMMYFUNCTION("""COMPUTED_VALUE"""),"RURAL")</f>
        <v>RURAL</v>
      </c>
      <c r="I1716" s="25" t="str">
        <f ca="1">IFERROR(__xludf.DUMMYFUNCTION("""COMPUTED_VALUE"""),"Prioridad 5")</f>
        <v>Prioridad 5</v>
      </c>
      <c r="J1716" s="43" t="s">
        <v>262</v>
      </c>
    </row>
    <row r="1717" spans="2:10">
      <c r="B1717" s="25" t="str">
        <f ca="1">IFERROR(__xludf.DUMMYFUNCTION("""COMPUTED_VALUE"""),"MUNICIPALIDAD DISTRITAL")</f>
        <v>MUNICIPALIDAD DISTRITAL</v>
      </c>
      <c r="C1717" s="25" t="str">
        <f ca="1">IFERROR(__xludf.DUMMYFUNCTION("""COMPUTED_VALUE"""),"MUNICIPALIDAD DISTRITAL DE COASA")</f>
        <v>MUNICIPALIDAD DISTRITAL DE COASA</v>
      </c>
      <c r="D1717" s="25" t="str">
        <f ca="1">IFERROR(__xludf.DUMMYFUNCTION("""COMPUTED_VALUE"""),"PUNO")</f>
        <v>PUNO</v>
      </c>
      <c r="E1717" s="25" t="str">
        <f ca="1">IFERROR(__xludf.DUMMYFUNCTION("""COMPUTED_VALUE"""),"PUNO")</f>
        <v>PUNO</v>
      </c>
      <c r="F1717" s="25" t="str">
        <f ca="1">IFERROR(__xludf.DUMMYFUNCTION("""COMPUTED_VALUE"""),"CARABAYA")</f>
        <v>CARABAYA</v>
      </c>
      <c r="G1717" s="25" t="str">
        <f ca="1">IFERROR(__xludf.DUMMYFUNCTION("""COMPUTED_VALUE"""),"COASA")</f>
        <v>COASA</v>
      </c>
      <c r="H1717" s="25" t="str">
        <f ca="1">IFERROR(__xludf.DUMMYFUNCTION("""COMPUTED_VALUE"""),"RURAL")</f>
        <v>RURAL</v>
      </c>
      <c r="I1717" s="25" t="str">
        <f ca="1">IFERROR(__xludf.DUMMYFUNCTION("""COMPUTED_VALUE"""),"Prioridad 5")</f>
        <v>Prioridad 5</v>
      </c>
      <c r="J1717" s="43" t="s">
        <v>262</v>
      </c>
    </row>
    <row r="1718" spans="2:10">
      <c r="B1718" s="25" t="str">
        <f ca="1">IFERROR(__xludf.DUMMYFUNCTION("""COMPUTED_VALUE"""),"MUNICIPALIDAD DISTRITAL")</f>
        <v>MUNICIPALIDAD DISTRITAL</v>
      </c>
      <c r="C1718" s="25" t="str">
        <f ca="1">IFERROR(__xludf.DUMMYFUNCTION("""COMPUTED_VALUE"""),"MUNICIPALIDAD DISTRITAL DE CORANI")</f>
        <v>MUNICIPALIDAD DISTRITAL DE CORANI</v>
      </c>
      <c r="D1718" s="25" t="str">
        <f ca="1">IFERROR(__xludf.DUMMYFUNCTION("""COMPUTED_VALUE"""),"PUNO")</f>
        <v>PUNO</v>
      </c>
      <c r="E1718" s="25" t="str">
        <f ca="1">IFERROR(__xludf.DUMMYFUNCTION("""COMPUTED_VALUE"""),"PUNO")</f>
        <v>PUNO</v>
      </c>
      <c r="F1718" s="25" t="str">
        <f ca="1">IFERROR(__xludf.DUMMYFUNCTION("""COMPUTED_VALUE"""),"CARABAYA")</f>
        <v>CARABAYA</v>
      </c>
      <c r="G1718" s="25" t="str">
        <f ca="1">IFERROR(__xludf.DUMMYFUNCTION("""COMPUTED_VALUE"""),"CORANI")</f>
        <v>CORANI</v>
      </c>
      <c r="H1718" s="25" t="str">
        <f ca="1">IFERROR(__xludf.DUMMYFUNCTION("""COMPUTED_VALUE"""),"RURAL")</f>
        <v>RURAL</v>
      </c>
      <c r="I1718" s="25" t="str">
        <f ca="1">IFERROR(__xludf.DUMMYFUNCTION("""COMPUTED_VALUE"""),"Prioridad 2")</f>
        <v>Prioridad 2</v>
      </c>
      <c r="J1718" s="43" t="s">
        <v>262</v>
      </c>
    </row>
    <row r="1719" spans="2:10">
      <c r="B1719" s="25" t="str">
        <f ca="1">IFERROR(__xludf.DUMMYFUNCTION("""COMPUTED_VALUE"""),"MUNICIPALIDAD DISTRITAL")</f>
        <v>MUNICIPALIDAD DISTRITAL</v>
      </c>
      <c r="C1719" s="25" t="str">
        <f ca="1">IFERROR(__xludf.DUMMYFUNCTION("""COMPUTED_VALUE"""),"MUNICIPALIDAD DISTRITAL DE CRUCERO")</f>
        <v>MUNICIPALIDAD DISTRITAL DE CRUCERO</v>
      </c>
      <c r="D1719" s="25" t="str">
        <f ca="1">IFERROR(__xludf.DUMMYFUNCTION("""COMPUTED_VALUE"""),"PUNO")</f>
        <v>PUNO</v>
      </c>
      <c r="E1719" s="25" t="str">
        <f ca="1">IFERROR(__xludf.DUMMYFUNCTION("""COMPUTED_VALUE"""),"PUNO")</f>
        <v>PUNO</v>
      </c>
      <c r="F1719" s="25" t="str">
        <f ca="1">IFERROR(__xludf.DUMMYFUNCTION("""COMPUTED_VALUE"""),"CARABAYA")</f>
        <v>CARABAYA</v>
      </c>
      <c r="G1719" s="25" t="str">
        <f ca="1">IFERROR(__xludf.DUMMYFUNCTION("""COMPUTED_VALUE"""),"CRUCERO")</f>
        <v>CRUCERO</v>
      </c>
      <c r="H1719" s="25" t="str">
        <f ca="1">IFERROR(__xludf.DUMMYFUNCTION("""COMPUTED_VALUE"""),"URBANO")</f>
        <v>URBANO</v>
      </c>
      <c r="I1719" s="25" t="str">
        <f ca="1">IFERROR(__xludf.DUMMYFUNCTION("""COMPUTED_VALUE"""),"Prioridad 2")</f>
        <v>Prioridad 2</v>
      </c>
      <c r="J1719" s="43" t="s">
        <v>262</v>
      </c>
    </row>
    <row r="1720" spans="2:10">
      <c r="B1720" s="25" t="str">
        <f ca="1">IFERROR(__xludf.DUMMYFUNCTION("""COMPUTED_VALUE"""),"MUNICIPALIDAD DISTRITAL")</f>
        <v>MUNICIPALIDAD DISTRITAL</v>
      </c>
      <c r="C1720" s="25" t="str">
        <f ca="1">IFERROR(__xludf.DUMMYFUNCTION("""COMPUTED_VALUE"""),"MUNICIPALIDAD DISTRITAL DE ITUATA")</f>
        <v>MUNICIPALIDAD DISTRITAL DE ITUATA</v>
      </c>
      <c r="D1720" s="25" t="str">
        <f ca="1">IFERROR(__xludf.DUMMYFUNCTION("""COMPUTED_VALUE"""),"PUNO")</f>
        <v>PUNO</v>
      </c>
      <c r="E1720" s="25" t="str">
        <f ca="1">IFERROR(__xludf.DUMMYFUNCTION("""COMPUTED_VALUE"""),"PUNO")</f>
        <v>PUNO</v>
      </c>
      <c r="F1720" s="25" t="str">
        <f ca="1">IFERROR(__xludf.DUMMYFUNCTION("""COMPUTED_VALUE"""),"CARABAYA")</f>
        <v>CARABAYA</v>
      </c>
      <c r="G1720" s="25" t="str">
        <f ca="1">IFERROR(__xludf.DUMMYFUNCTION("""COMPUTED_VALUE"""),"ITUATA")</f>
        <v>ITUATA</v>
      </c>
      <c r="H1720" s="25" t="str">
        <f ca="1">IFERROR(__xludf.DUMMYFUNCTION("""COMPUTED_VALUE"""),"RURAL")</f>
        <v>RURAL</v>
      </c>
      <c r="I1720" s="25" t="str">
        <f ca="1">IFERROR(__xludf.DUMMYFUNCTION("""COMPUTED_VALUE"""),"Prioridad 3")</f>
        <v>Prioridad 3</v>
      </c>
      <c r="J1720" s="43" t="s">
        <v>262</v>
      </c>
    </row>
    <row r="1721" spans="2:10">
      <c r="B1721" s="25" t="str">
        <f ca="1">IFERROR(__xludf.DUMMYFUNCTION("""COMPUTED_VALUE"""),"MUNICIPALIDAD PROVINCIAL")</f>
        <v>MUNICIPALIDAD PROVINCIAL</v>
      </c>
      <c r="C1721" s="25" t="str">
        <f ca="1">IFERROR(__xludf.DUMMYFUNCTION("""COMPUTED_VALUE"""),"MUNICIPALIDAD PROVINCIAL DE CARABAYA")</f>
        <v>MUNICIPALIDAD PROVINCIAL DE CARABAYA</v>
      </c>
      <c r="D1721" s="25" t="str">
        <f ca="1">IFERROR(__xludf.DUMMYFUNCTION("""COMPUTED_VALUE"""),"PUNO")</f>
        <v>PUNO</v>
      </c>
      <c r="E1721" s="25" t="str">
        <f ca="1">IFERROR(__xludf.DUMMYFUNCTION("""COMPUTED_VALUE"""),"PUNO")</f>
        <v>PUNO</v>
      </c>
      <c r="F1721" s="25" t="str">
        <f ca="1">IFERROR(__xludf.DUMMYFUNCTION("""COMPUTED_VALUE"""),"CARABAYA")</f>
        <v>CARABAYA</v>
      </c>
      <c r="G1721" s="25" t="str">
        <f ca="1">IFERROR(__xludf.DUMMYFUNCTION("""COMPUTED_VALUE"""),"MACUSANI")</f>
        <v>MACUSANI</v>
      </c>
      <c r="H1721" s="25" t="str">
        <f ca="1">IFERROR(__xludf.DUMMYFUNCTION("""COMPUTED_VALUE"""),"URBANO")</f>
        <v>URBANO</v>
      </c>
      <c r="I1721" s="25" t="str">
        <f ca="1">IFERROR(__xludf.DUMMYFUNCTION("""COMPUTED_VALUE"""),"Prioridad 2")</f>
        <v>Prioridad 2</v>
      </c>
      <c r="J1721" s="43" t="s">
        <v>262</v>
      </c>
    </row>
    <row r="1722" spans="2:10">
      <c r="B1722" s="25" t="str">
        <f ca="1">IFERROR(__xludf.DUMMYFUNCTION("""COMPUTED_VALUE"""),"MUNICIPALIDAD DISTRITAL")</f>
        <v>MUNICIPALIDAD DISTRITAL</v>
      </c>
      <c r="C1722" s="25" t="str">
        <f ca="1">IFERROR(__xludf.DUMMYFUNCTION("""COMPUTED_VALUE"""),"MUNICIPALIDAD DISTRITAL DE OLLACHEA")</f>
        <v>MUNICIPALIDAD DISTRITAL DE OLLACHEA</v>
      </c>
      <c r="D1722" s="25" t="str">
        <f ca="1">IFERROR(__xludf.DUMMYFUNCTION("""COMPUTED_VALUE"""),"PUNO")</f>
        <v>PUNO</v>
      </c>
      <c r="E1722" s="25" t="str">
        <f ca="1">IFERROR(__xludf.DUMMYFUNCTION("""COMPUTED_VALUE"""),"PUNO")</f>
        <v>PUNO</v>
      </c>
      <c r="F1722" s="25" t="str">
        <f ca="1">IFERROR(__xludf.DUMMYFUNCTION("""COMPUTED_VALUE"""),"CARABAYA")</f>
        <v>CARABAYA</v>
      </c>
      <c r="G1722" s="25" t="str">
        <f ca="1">IFERROR(__xludf.DUMMYFUNCTION("""COMPUTED_VALUE"""),"OLLACHEA")</f>
        <v>OLLACHEA</v>
      </c>
      <c r="H1722" s="25" t="str">
        <f ca="1">IFERROR(__xludf.DUMMYFUNCTION("""COMPUTED_VALUE"""),"RURAL")</f>
        <v>RURAL</v>
      </c>
      <c r="I1722" s="25" t="str">
        <f ca="1">IFERROR(__xludf.DUMMYFUNCTION("""COMPUTED_VALUE"""),"Prioridad 3")</f>
        <v>Prioridad 3</v>
      </c>
      <c r="J1722" s="43" t="s">
        <v>262</v>
      </c>
    </row>
    <row r="1723" spans="2:10">
      <c r="B1723" s="25" t="str">
        <f ca="1">IFERROR(__xludf.DUMMYFUNCTION("""COMPUTED_VALUE"""),"MUNICIPALIDAD DISTRITAL")</f>
        <v>MUNICIPALIDAD DISTRITAL</v>
      </c>
      <c r="C1723" s="25" t="str">
        <f ca="1">IFERROR(__xludf.DUMMYFUNCTION("""COMPUTED_VALUE"""),"MUNICIPALIDAD DISTRITAL DE SAN GABAN")</f>
        <v>MUNICIPALIDAD DISTRITAL DE SAN GABAN</v>
      </c>
      <c r="D1723" s="25" t="str">
        <f ca="1">IFERROR(__xludf.DUMMYFUNCTION("""COMPUTED_VALUE"""),"PUNO")</f>
        <v>PUNO</v>
      </c>
      <c r="E1723" s="25" t="str">
        <f ca="1">IFERROR(__xludf.DUMMYFUNCTION("""COMPUTED_VALUE"""),"PUNO")</f>
        <v>PUNO</v>
      </c>
      <c r="F1723" s="25" t="str">
        <f ca="1">IFERROR(__xludf.DUMMYFUNCTION("""COMPUTED_VALUE"""),"CARABAYA")</f>
        <v>CARABAYA</v>
      </c>
      <c r="G1723" s="25" t="str">
        <f ca="1">IFERROR(__xludf.DUMMYFUNCTION("""COMPUTED_VALUE"""),"SAN GABAN")</f>
        <v>SAN GABAN</v>
      </c>
      <c r="H1723" s="25" t="str">
        <f ca="1">IFERROR(__xludf.DUMMYFUNCTION("""COMPUTED_VALUE"""),"RURAL")</f>
        <v>RURAL</v>
      </c>
      <c r="I1723" s="25" t="str">
        <f ca="1">IFERROR(__xludf.DUMMYFUNCTION("""COMPUTED_VALUE"""),"Prioridad 2")</f>
        <v>Prioridad 2</v>
      </c>
      <c r="J1723" s="43" t="s">
        <v>262</v>
      </c>
    </row>
    <row r="1724" spans="2:10">
      <c r="B1724" s="25" t="str">
        <f ca="1">IFERROR(__xludf.DUMMYFUNCTION("""COMPUTED_VALUE"""),"MUNICIPALIDAD DISTRITAL")</f>
        <v>MUNICIPALIDAD DISTRITAL</v>
      </c>
      <c r="C1724" s="25" t="str">
        <f ca="1">IFERROR(__xludf.DUMMYFUNCTION("""COMPUTED_VALUE"""),"MUNICIPALIDAD DISTRITAL DE USICAYOS")</f>
        <v>MUNICIPALIDAD DISTRITAL DE USICAYOS</v>
      </c>
      <c r="D1724" s="25" t="str">
        <f ca="1">IFERROR(__xludf.DUMMYFUNCTION("""COMPUTED_VALUE"""),"PUNO")</f>
        <v>PUNO</v>
      </c>
      <c r="E1724" s="25" t="str">
        <f ca="1">IFERROR(__xludf.DUMMYFUNCTION("""COMPUTED_VALUE"""),"PUNO")</f>
        <v>PUNO</v>
      </c>
      <c r="F1724" s="25" t="str">
        <f ca="1">IFERROR(__xludf.DUMMYFUNCTION("""COMPUTED_VALUE"""),"CARABAYA")</f>
        <v>CARABAYA</v>
      </c>
      <c r="G1724" s="25" t="str">
        <f ca="1">IFERROR(__xludf.DUMMYFUNCTION("""COMPUTED_VALUE"""),"USICAYOS")</f>
        <v>USICAYOS</v>
      </c>
      <c r="H1724" s="25" t="str">
        <f ca="1">IFERROR(__xludf.DUMMYFUNCTION("""COMPUTED_VALUE"""),"RURAL")</f>
        <v>RURAL</v>
      </c>
      <c r="I1724" s="25" t="str">
        <f ca="1">IFERROR(__xludf.DUMMYFUNCTION("""COMPUTED_VALUE"""),"Prioridad 5")</f>
        <v>Prioridad 5</v>
      </c>
      <c r="J1724" s="43" t="s">
        <v>262</v>
      </c>
    </row>
    <row r="1725" spans="2:10">
      <c r="B1725" s="25" t="str">
        <f ca="1">IFERROR(__xludf.DUMMYFUNCTION("""COMPUTED_VALUE"""),"MUNICIPALIDAD PROVINCIAL")</f>
        <v>MUNICIPALIDAD PROVINCIAL</v>
      </c>
      <c r="C1725" s="25" t="str">
        <f ca="1">IFERROR(__xludf.DUMMYFUNCTION("""COMPUTED_VALUE"""),"MUNICIPALIDAD PROVINCIAL DE CHUCUITO")</f>
        <v>MUNICIPALIDAD PROVINCIAL DE CHUCUITO</v>
      </c>
      <c r="D1725" s="25" t="str">
        <f ca="1">IFERROR(__xludf.DUMMYFUNCTION("""COMPUTED_VALUE"""),"PUNO")</f>
        <v>PUNO</v>
      </c>
      <c r="E1725" s="25" t="str">
        <f ca="1">IFERROR(__xludf.DUMMYFUNCTION("""COMPUTED_VALUE"""),"PUNO")</f>
        <v>PUNO</v>
      </c>
      <c r="F1725" s="25" t="str">
        <f ca="1">IFERROR(__xludf.DUMMYFUNCTION("""COMPUTED_VALUE"""),"CHUCUITO")</f>
        <v>CHUCUITO</v>
      </c>
      <c r="G1725" s="25" t="str">
        <f ca="1">IFERROR(__xludf.DUMMYFUNCTION("""COMPUTED_VALUE"""),"JULI")</f>
        <v>JULI</v>
      </c>
      <c r="H1725" s="25" t="str">
        <f ca="1">IFERROR(__xludf.DUMMYFUNCTION("""COMPUTED_VALUE"""),"RURAL")</f>
        <v>RURAL</v>
      </c>
      <c r="I1725" s="25" t="str">
        <f ca="1">IFERROR(__xludf.DUMMYFUNCTION("""COMPUTED_VALUE"""),"Prioridad 1")</f>
        <v>Prioridad 1</v>
      </c>
      <c r="J1725" s="43" t="s">
        <v>262</v>
      </c>
    </row>
    <row r="1726" spans="2:10">
      <c r="B1726" s="25" t="str">
        <f ca="1">IFERROR(__xludf.DUMMYFUNCTION("""COMPUTED_VALUE"""),"MUNICIPALIDAD DISTRITAL")</f>
        <v>MUNICIPALIDAD DISTRITAL</v>
      </c>
      <c r="C1726" s="25" t="str">
        <f ca="1">IFERROR(__xludf.DUMMYFUNCTION("""COMPUTED_VALUE"""),"MUNICIPALIDAD DISTRITAL DE DESAGUADERO")</f>
        <v>MUNICIPALIDAD DISTRITAL DE DESAGUADERO</v>
      </c>
      <c r="D1726" s="25" t="str">
        <f ca="1">IFERROR(__xludf.DUMMYFUNCTION("""COMPUTED_VALUE"""),"PUNO")</f>
        <v>PUNO</v>
      </c>
      <c r="E1726" s="25" t="str">
        <f ca="1">IFERROR(__xludf.DUMMYFUNCTION("""COMPUTED_VALUE"""),"PUNO")</f>
        <v>PUNO</v>
      </c>
      <c r="F1726" s="25" t="str">
        <f ca="1">IFERROR(__xludf.DUMMYFUNCTION("""COMPUTED_VALUE"""),"CHUCUITO")</f>
        <v>CHUCUITO</v>
      </c>
      <c r="G1726" s="25" t="str">
        <f ca="1">IFERROR(__xludf.DUMMYFUNCTION("""COMPUTED_VALUE"""),"DESAGUADERO")</f>
        <v>DESAGUADERO</v>
      </c>
      <c r="H1726" s="25" t="str">
        <f ca="1">IFERROR(__xludf.DUMMYFUNCTION("""COMPUTED_VALUE"""),"URBANO")</f>
        <v>URBANO</v>
      </c>
      <c r="I1726" s="25" t="str">
        <f ca="1">IFERROR(__xludf.DUMMYFUNCTION("""COMPUTED_VALUE"""),"Prioridad 3")</f>
        <v>Prioridad 3</v>
      </c>
      <c r="J1726" s="43" t="s">
        <v>262</v>
      </c>
    </row>
    <row r="1727" spans="2:10">
      <c r="B1727" s="25" t="str">
        <f ca="1">IFERROR(__xludf.DUMMYFUNCTION("""COMPUTED_VALUE"""),"MUNICIPALIDAD DISTRITAL")</f>
        <v>MUNICIPALIDAD DISTRITAL</v>
      </c>
      <c r="C1727" s="25" t="str">
        <f ca="1">IFERROR(__xludf.DUMMYFUNCTION("""COMPUTED_VALUE"""),"MUNICIPALIDAD DISTRITAL DE HUACULLANI")</f>
        <v>MUNICIPALIDAD DISTRITAL DE HUACULLANI</v>
      </c>
      <c r="D1727" s="25" t="str">
        <f ca="1">IFERROR(__xludf.DUMMYFUNCTION("""COMPUTED_VALUE"""),"PUNO")</f>
        <v>PUNO</v>
      </c>
      <c r="E1727" s="25" t="str">
        <f ca="1">IFERROR(__xludf.DUMMYFUNCTION("""COMPUTED_VALUE"""),"PUNO")</f>
        <v>PUNO</v>
      </c>
      <c r="F1727" s="25" t="str">
        <f ca="1">IFERROR(__xludf.DUMMYFUNCTION("""COMPUTED_VALUE"""),"CHUCUITO")</f>
        <v>CHUCUITO</v>
      </c>
      <c r="G1727" s="25" t="str">
        <f ca="1">IFERROR(__xludf.DUMMYFUNCTION("""COMPUTED_VALUE"""),"HUACULLANI")</f>
        <v>HUACULLANI</v>
      </c>
      <c r="H1727" s="25" t="str">
        <f ca="1">IFERROR(__xludf.DUMMYFUNCTION("""COMPUTED_VALUE"""),"RURAL")</f>
        <v>RURAL</v>
      </c>
      <c r="I1727" s="25" t="str">
        <f ca="1">IFERROR(__xludf.DUMMYFUNCTION("""COMPUTED_VALUE"""),"Prioridad 5")</f>
        <v>Prioridad 5</v>
      </c>
      <c r="J1727" s="43" t="s">
        <v>262</v>
      </c>
    </row>
    <row r="1728" spans="2:10">
      <c r="B1728" s="25" t="str">
        <f ca="1">IFERROR(__xludf.DUMMYFUNCTION("""COMPUTED_VALUE"""),"MUNICIPALIDAD DISTRITAL")</f>
        <v>MUNICIPALIDAD DISTRITAL</v>
      </c>
      <c r="C1728" s="25" t="str">
        <f ca="1">IFERROR(__xludf.DUMMYFUNCTION("""COMPUTED_VALUE"""),"MUNICIPALIDAD DISTRITAL DE KELLUYO")</f>
        <v>MUNICIPALIDAD DISTRITAL DE KELLUYO</v>
      </c>
      <c r="D1728" s="25" t="str">
        <f ca="1">IFERROR(__xludf.DUMMYFUNCTION("""COMPUTED_VALUE"""),"PUNO")</f>
        <v>PUNO</v>
      </c>
      <c r="E1728" s="25" t="str">
        <f ca="1">IFERROR(__xludf.DUMMYFUNCTION("""COMPUTED_VALUE"""),"PUNO")</f>
        <v>PUNO</v>
      </c>
      <c r="F1728" s="25" t="str">
        <f ca="1">IFERROR(__xludf.DUMMYFUNCTION("""COMPUTED_VALUE"""),"CHUCUITO")</f>
        <v>CHUCUITO</v>
      </c>
      <c r="G1728" s="25" t="str">
        <f ca="1">IFERROR(__xludf.DUMMYFUNCTION("""COMPUTED_VALUE"""),"KELLUYO")</f>
        <v>KELLUYO</v>
      </c>
      <c r="H1728" s="25" t="str">
        <f ca="1">IFERROR(__xludf.DUMMYFUNCTION("""COMPUTED_VALUE"""),"RURAL")</f>
        <v>RURAL</v>
      </c>
      <c r="I1728" s="25" t="str">
        <f ca="1">IFERROR(__xludf.DUMMYFUNCTION("""COMPUTED_VALUE"""),"Prioridad 5")</f>
        <v>Prioridad 5</v>
      </c>
      <c r="J1728" s="43" t="s">
        <v>262</v>
      </c>
    </row>
    <row r="1729" spans="2:10">
      <c r="B1729" s="25" t="str">
        <f ca="1">IFERROR(__xludf.DUMMYFUNCTION("""COMPUTED_VALUE"""),"MUNICIPALIDAD DISTRITAL")</f>
        <v>MUNICIPALIDAD DISTRITAL</v>
      </c>
      <c r="C1729" s="25" t="str">
        <f ca="1">IFERROR(__xludf.DUMMYFUNCTION("""COMPUTED_VALUE"""),"MUNICIPALIDAD DISTRITAL DE PISACOMA")</f>
        <v>MUNICIPALIDAD DISTRITAL DE PISACOMA</v>
      </c>
      <c r="D1729" s="25" t="str">
        <f ca="1">IFERROR(__xludf.DUMMYFUNCTION("""COMPUTED_VALUE"""),"PUNO")</f>
        <v>PUNO</v>
      </c>
      <c r="E1729" s="25" t="str">
        <f ca="1">IFERROR(__xludf.DUMMYFUNCTION("""COMPUTED_VALUE"""),"PUNO")</f>
        <v>PUNO</v>
      </c>
      <c r="F1729" s="25" t="str">
        <f ca="1">IFERROR(__xludf.DUMMYFUNCTION("""COMPUTED_VALUE"""),"CHUCUITO")</f>
        <v>CHUCUITO</v>
      </c>
      <c r="G1729" s="25" t="str">
        <f ca="1">IFERROR(__xludf.DUMMYFUNCTION("""COMPUTED_VALUE"""),"PISACOMA")</f>
        <v>PISACOMA</v>
      </c>
      <c r="H1729" s="25" t="str">
        <f ca="1">IFERROR(__xludf.DUMMYFUNCTION("""COMPUTED_VALUE"""),"RURAL")</f>
        <v>RURAL</v>
      </c>
      <c r="I1729" s="25" t="str">
        <f ca="1">IFERROR(__xludf.DUMMYFUNCTION("""COMPUTED_VALUE"""),"Prioridad 5")</f>
        <v>Prioridad 5</v>
      </c>
      <c r="J1729" s="43" t="s">
        <v>262</v>
      </c>
    </row>
    <row r="1730" spans="2:10">
      <c r="B1730" s="25" t="str">
        <f ca="1">IFERROR(__xludf.DUMMYFUNCTION("""COMPUTED_VALUE"""),"MUNICIPALIDAD DISTRITAL")</f>
        <v>MUNICIPALIDAD DISTRITAL</v>
      </c>
      <c r="C1730" s="25" t="str">
        <f ca="1">IFERROR(__xludf.DUMMYFUNCTION("""COMPUTED_VALUE"""),"MUNICIPALIDAD DISTRITAL DE POMATA")</f>
        <v>MUNICIPALIDAD DISTRITAL DE POMATA</v>
      </c>
      <c r="D1730" s="25" t="str">
        <f ca="1">IFERROR(__xludf.DUMMYFUNCTION("""COMPUTED_VALUE"""),"PUNO")</f>
        <v>PUNO</v>
      </c>
      <c r="E1730" s="25" t="str">
        <f ca="1">IFERROR(__xludf.DUMMYFUNCTION("""COMPUTED_VALUE"""),"PUNO")</f>
        <v>PUNO</v>
      </c>
      <c r="F1730" s="25" t="str">
        <f ca="1">IFERROR(__xludf.DUMMYFUNCTION("""COMPUTED_VALUE"""),"CHUCUITO")</f>
        <v>CHUCUITO</v>
      </c>
      <c r="G1730" s="25" t="str">
        <f ca="1">IFERROR(__xludf.DUMMYFUNCTION("""COMPUTED_VALUE"""),"POMATA")</f>
        <v>POMATA</v>
      </c>
      <c r="H1730" s="25" t="str">
        <f ca="1">IFERROR(__xludf.DUMMYFUNCTION("""COMPUTED_VALUE"""),"RURAL")</f>
        <v>RURAL</v>
      </c>
      <c r="I1730" s="25" t="str">
        <f ca="1">IFERROR(__xludf.DUMMYFUNCTION("""COMPUTED_VALUE"""),"Prioridad 4")</f>
        <v>Prioridad 4</v>
      </c>
      <c r="J1730" s="43" t="s">
        <v>262</v>
      </c>
    </row>
    <row r="1731" spans="2:10">
      <c r="B1731" s="25" t="str">
        <f ca="1">IFERROR(__xludf.DUMMYFUNCTION("""COMPUTED_VALUE"""),"COLEGIO PROFESIONAL")</f>
        <v>COLEGIO PROFESIONAL</v>
      </c>
      <c r="C1731" s="25" t="str">
        <f ca="1">IFERROR(__xludf.DUMMYFUNCTION("""COMPUTED_VALUE"""),"COLEGIO DE ABOGADOS DE APURIMAC")</f>
        <v>COLEGIO DE ABOGADOS DE APURIMAC</v>
      </c>
      <c r="D1731" s="25" t="str">
        <f ca="1">IFERROR(__xludf.DUMMYFUNCTION("""COMPUTED_VALUE"""),"CUZCO")</f>
        <v>CUZCO</v>
      </c>
      <c r="E1731" s="25" t="str">
        <f ca="1">IFERROR(__xludf.DUMMYFUNCTION("""COMPUTED_VALUE"""),"APURÍMAC")</f>
        <v>APURÍMAC</v>
      </c>
      <c r="F1731" s="25" t="str">
        <f ca="1">IFERROR(__xludf.DUMMYFUNCTION("""COMPUTED_VALUE"""),"ABANCAY")</f>
        <v>ABANCAY</v>
      </c>
      <c r="G1731" s="25" t="str">
        <f ca="1">IFERROR(__xludf.DUMMYFUNCTION("""COMPUTED_VALUE"""),"ABANCAY")</f>
        <v>ABANCAY</v>
      </c>
      <c r="H1731" s="25"/>
      <c r="I1731" s="25" t="str">
        <f ca="1">IFERROR(__xludf.DUMMYFUNCTION("""COMPUTED_VALUE"""),"Prioridad 3")</f>
        <v>Prioridad 3</v>
      </c>
      <c r="J1731" s="43" t="s">
        <v>262</v>
      </c>
    </row>
    <row r="1732" spans="2:10">
      <c r="B1732" s="25" t="str">
        <f ca="1">IFERROR(__xludf.DUMMYFUNCTION("""COMPUTED_VALUE"""),"MUNICIPALIDAD DISTRITAL")</f>
        <v>MUNICIPALIDAD DISTRITAL</v>
      </c>
      <c r="C1732" s="25" t="str">
        <f ca="1">IFERROR(__xludf.DUMMYFUNCTION("""COMPUTED_VALUE"""),"MUNICIPALIDAD DISTRITAL DE ZEPITA")</f>
        <v>MUNICIPALIDAD DISTRITAL DE ZEPITA</v>
      </c>
      <c r="D1732" s="25" t="str">
        <f ca="1">IFERROR(__xludf.DUMMYFUNCTION("""COMPUTED_VALUE"""),"PUNO")</f>
        <v>PUNO</v>
      </c>
      <c r="E1732" s="25" t="str">
        <f ca="1">IFERROR(__xludf.DUMMYFUNCTION("""COMPUTED_VALUE"""),"PUNO")</f>
        <v>PUNO</v>
      </c>
      <c r="F1732" s="25" t="str">
        <f ca="1">IFERROR(__xludf.DUMMYFUNCTION("""COMPUTED_VALUE"""),"CHUCUITO")</f>
        <v>CHUCUITO</v>
      </c>
      <c r="G1732" s="25" t="str">
        <f ca="1">IFERROR(__xludf.DUMMYFUNCTION("""COMPUTED_VALUE"""),"ZEPITA")</f>
        <v>ZEPITA</v>
      </c>
      <c r="H1732" s="25" t="str">
        <f ca="1">IFERROR(__xludf.DUMMYFUNCTION("""COMPUTED_VALUE"""),"RURAL")</f>
        <v>RURAL</v>
      </c>
      <c r="I1732" s="25" t="str">
        <f ca="1">IFERROR(__xludf.DUMMYFUNCTION("""COMPUTED_VALUE"""),"Prioridad 4")</f>
        <v>Prioridad 4</v>
      </c>
      <c r="J1732" s="43" t="s">
        <v>262</v>
      </c>
    </row>
    <row r="1733" spans="2:10">
      <c r="B1733" s="25" t="str">
        <f ca="1">IFERROR(__xludf.DUMMYFUNCTION("""COMPUTED_VALUE"""),"MUNICIPALIDAD DISTRITAL")</f>
        <v>MUNICIPALIDAD DISTRITAL</v>
      </c>
      <c r="C1733" s="25" t="str">
        <f ca="1">IFERROR(__xludf.DUMMYFUNCTION("""COMPUTED_VALUE"""),"MUNICIPALIDAD DISTRITAL DE CAPASO")</f>
        <v>MUNICIPALIDAD DISTRITAL DE CAPASO</v>
      </c>
      <c r="D1733" s="25" t="str">
        <f ca="1">IFERROR(__xludf.DUMMYFUNCTION("""COMPUTED_VALUE"""),"PUNO")</f>
        <v>PUNO</v>
      </c>
      <c r="E1733" s="25" t="str">
        <f ca="1">IFERROR(__xludf.DUMMYFUNCTION("""COMPUTED_VALUE"""),"PUNO")</f>
        <v>PUNO</v>
      </c>
      <c r="F1733" s="25" t="str">
        <f ca="1">IFERROR(__xludf.DUMMYFUNCTION("""COMPUTED_VALUE"""),"EL COLLAO")</f>
        <v>EL COLLAO</v>
      </c>
      <c r="G1733" s="25" t="str">
        <f ca="1">IFERROR(__xludf.DUMMYFUNCTION("""COMPUTED_VALUE"""),"CAPASO")</f>
        <v>CAPASO</v>
      </c>
      <c r="H1733" s="25" t="str">
        <f ca="1">IFERROR(__xludf.DUMMYFUNCTION("""COMPUTED_VALUE"""),"RURAL")</f>
        <v>RURAL</v>
      </c>
      <c r="I1733" s="25" t="str">
        <f ca="1">IFERROR(__xludf.DUMMYFUNCTION("""COMPUTED_VALUE"""),"Prioridad 5")</f>
        <v>Prioridad 5</v>
      </c>
      <c r="J1733" s="43" t="s">
        <v>262</v>
      </c>
    </row>
    <row r="1734" spans="2:10">
      <c r="B1734" s="25" t="str">
        <f ca="1">IFERROR(__xludf.DUMMYFUNCTION("""COMPUTED_VALUE"""),"MUNICIPALIDAD DISTRITAL")</f>
        <v>MUNICIPALIDAD DISTRITAL</v>
      </c>
      <c r="C1734" s="25" t="str">
        <f ca="1">IFERROR(__xludf.DUMMYFUNCTION("""COMPUTED_VALUE"""),"MUNICIPALIDAD DISTRITAL DE CONDURIRI")</f>
        <v>MUNICIPALIDAD DISTRITAL DE CONDURIRI</v>
      </c>
      <c r="D1734" s="25" t="str">
        <f ca="1">IFERROR(__xludf.DUMMYFUNCTION("""COMPUTED_VALUE"""),"PUNO")</f>
        <v>PUNO</v>
      </c>
      <c r="E1734" s="25" t="str">
        <f ca="1">IFERROR(__xludf.DUMMYFUNCTION("""COMPUTED_VALUE"""),"PUNO")</f>
        <v>PUNO</v>
      </c>
      <c r="F1734" s="25" t="str">
        <f ca="1">IFERROR(__xludf.DUMMYFUNCTION("""COMPUTED_VALUE"""),"EL COLLAO")</f>
        <v>EL COLLAO</v>
      </c>
      <c r="G1734" s="25" t="str">
        <f ca="1">IFERROR(__xludf.DUMMYFUNCTION("""COMPUTED_VALUE"""),"CONDURIRI")</f>
        <v>CONDURIRI</v>
      </c>
      <c r="H1734" s="25" t="str">
        <f ca="1">IFERROR(__xludf.DUMMYFUNCTION("""COMPUTED_VALUE"""),"RURAL")</f>
        <v>RURAL</v>
      </c>
      <c r="I1734" s="25" t="str">
        <f ca="1">IFERROR(__xludf.DUMMYFUNCTION("""COMPUTED_VALUE"""),"Prioridad 5")</f>
        <v>Prioridad 5</v>
      </c>
      <c r="J1734" s="43" t="s">
        <v>262</v>
      </c>
    </row>
    <row r="1735" spans="2:10">
      <c r="B1735" s="25" t="str">
        <f ca="1">IFERROR(__xludf.DUMMYFUNCTION("""COMPUTED_VALUE"""),"MUNICIPALIDAD PROVINCIAL")</f>
        <v>MUNICIPALIDAD PROVINCIAL</v>
      </c>
      <c r="C1735" s="25" t="str">
        <f ca="1">IFERROR(__xludf.DUMMYFUNCTION("""COMPUTED_VALUE"""),"MUNICIPALIDAD PROVINCIAL DE EL COLLAO")</f>
        <v>MUNICIPALIDAD PROVINCIAL DE EL COLLAO</v>
      </c>
      <c r="D1735" s="25" t="str">
        <f ca="1">IFERROR(__xludf.DUMMYFUNCTION("""COMPUTED_VALUE"""),"PUNO")</f>
        <v>PUNO</v>
      </c>
      <c r="E1735" s="25" t="str">
        <f ca="1">IFERROR(__xludf.DUMMYFUNCTION("""COMPUTED_VALUE"""),"PUNO")</f>
        <v>PUNO</v>
      </c>
      <c r="F1735" s="25" t="str">
        <f ca="1">IFERROR(__xludf.DUMMYFUNCTION("""COMPUTED_VALUE"""),"EL COLLAO")</f>
        <v>EL COLLAO</v>
      </c>
      <c r="G1735" s="25" t="str">
        <f ca="1">IFERROR(__xludf.DUMMYFUNCTION("""COMPUTED_VALUE"""),"ILAVE")</f>
        <v>ILAVE</v>
      </c>
      <c r="H1735" s="25" t="str">
        <f ca="1">IFERROR(__xludf.DUMMYFUNCTION("""COMPUTED_VALUE"""),"RURAL")</f>
        <v>RURAL</v>
      </c>
      <c r="I1735" s="25" t="str">
        <f ca="1">IFERROR(__xludf.DUMMYFUNCTION("""COMPUTED_VALUE"""),"Prioridad 1")</f>
        <v>Prioridad 1</v>
      </c>
      <c r="J1735" s="43" t="s">
        <v>262</v>
      </c>
    </row>
    <row r="1736" spans="2:10">
      <c r="B1736" s="25" t="str">
        <f ca="1">IFERROR(__xludf.DUMMYFUNCTION("""COMPUTED_VALUE"""),"MUNICIPALIDAD DISTRITAL")</f>
        <v>MUNICIPALIDAD DISTRITAL</v>
      </c>
      <c r="C1736" s="25" t="str">
        <f ca="1">IFERROR(__xludf.DUMMYFUNCTION("""COMPUTED_VALUE"""),"MUNICIPALIDAD DISTRITAL DE PILCUYO")</f>
        <v>MUNICIPALIDAD DISTRITAL DE PILCUYO</v>
      </c>
      <c r="D1736" s="25" t="str">
        <f ca="1">IFERROR(__xludf.DUMMYFUNCTION("""COMPUTED_VALUE"""),"PUNO")</f>
        <v>PUNO</v>
      </c>
      <c r="E1736" s="25" t="str">
        <f ca="1">IFERROR(__xludf.DUMMYFUNCTION("""COMPUTED_VALUE"""),"PUNO")</f>
        <v>PUNO</v>
      </c>
      <c r="F1736" s="25" t="str">
        <f ca="1">IFERROR(__xludf.DUMMYFUNCTION("""COMPUTED_VALUE"""),"EL COLLAO")</f>
        <v>EL COLLAO</v>
      </c>
      <c r="G1736" s="25" t="str">
        <f ca="1">IFERROR(__xludf.DUMMYFUNCTION("""COMPUTED_VALUE"""),"PILCUYO")</f>
        <v>PILCUYO</v>
      </c>
      <c r="H1736" s="25" t="str">
        <f ca="1">IFERROR(__xludf.DUMMYFUNCTION("""COMPUTED_VALUE"""),"RURAL")</f>
        <v>RURAL</v>
      </c>
      <c r="I1736" s="25" t="str">
        <f ca="1">IFERROR(__xludf.DUMMYFUNCTION("""COMPUTED_VALUE"""),"Prioridad 5")</f>
        <v>Prioridad 5</v>
      </c>
      <c r="J1736" s="43" t="s">
        <v>262</v>
      </c>
    </row>
    <row r="1737" spans="2:10">
      <c r="B1737" s="25" t="str">
        <f ca="1">IFERROR(__xludf.DUMMYFUNCTION("""COMPUTED_VALUE"""),"MUNICIPALIDAD DISTRITAL")</f>
        <v>MUNICIPALIDAD DISTRITAL</v>
      </c>
      <c r="C1737" s="25" t="str">
        <f ca="1">IFERROR(__xludf.DUMMYFUNCTION("""COMPUTED_VALUE"""),"MUNICIPALIDAD DISTRITAL DE SANTA ROSA EN EL COLLAO")</f>
        <v>MUNICIPALIDAD DISTRITAL DE SANTA ROSA EN EL COLLAO</v>
      </c>
      <c r="D1737" s="25" t="str">
        <f ca="1">IFERROR(__xludf.DUMMYFUNCTION("""COMPUTED_VALUE"""),"PUNO")</f>
        <v>PUNO</v>
      </c>
      <c r="E1737" s="25" t="str">
        <f ca="1">IFERROR(__xludf.DUMMYFUNCTION("""COMPUTED_VALUE"""),"PUNO")</f>
        <v>PUNO</v>
      </c>
      <c r="F1737" s="25" t="str">
        <f ca="1">IFERROR(__xludf.DUMMYFUNCTION("""COMPUTED_VALUE"""),"EL COLLAO")</f>
        <v>EL COLLAO</v>
      </c>
      <c r="G1737" s="25" t="str">
        <f ca="1">IFERROR(__xludf.DUMMYFUNCTION("""COMPUTED_VALUE"""),"SANTA ROSA")</f>
        <v>SANTA ROSA</v>
      </c>
      <c r="H1737" s="25" t="str">
        <f ca="1">IFERROR(__xludf.DUMMYFUNCTION("""COMPUTED_VALUE"""),"RURAL")</f>
        <v>RURAL</v>
      </c>
      <c r="I1737" s="25" t="str">
        <f ca="1">IFERROR(__xludf.DUMMYFUNCTION("""COMPUTED_VALUE"""),"Prioridad 5")</f>
        <v>Prioridad 5</v>
      </c>
      <c r="J1737" s="43" t="s">
        <v>262</v>
      </c>
    </row>
    <row r="1738" spans="2:10">
      <c r="B1738" s="25" t="str">
        <f ca="1">IFERROR(__xludf.DUMMYFUNCTION("""COMPUTED_VALUE"""),"MUNICIPALIDAD PROVINCIAL")</f>
        <v>MUNICIPALIDAD PROVINCIAL</v>
      </c>
      <c r="C1738" s="25" t="str">
        <f ca="1">IFERROR(__xludf.DUMMYFUNCTION("""COMPUTED_VALUE"""),"MUNICIPALIDAD PROVINCIAL DE HUANCANE")</f>
        <v>MUNICIPALIDAD PROVINCIAL DE HUANCANE</v>
      </c>
      <c r="D1738" s="25" t="str">
        <f ca="1">IFERROR(__xludf.DUMMYFUNCTION("""COMPUTED_VALUE"""),"PUNO")</f>
        <v>PUNO</v>
      </c>
      <c r="E1738" s="25" t="str">
        <f ca="1">IFERROR(__xludf.DUMMYFUNCTION("""COMPUTED_VALUE"""),"PUNO")</f>
        <v>PUNO</v>
      </c>
      <c r="F1738" s="25" t="str">
        <f ca="1">IFERROR(__xludf.DUMMYFUNCTION("""COMPUTED_VALUE"""),"HUANCANE")</f>
        <v>HUANCANE</v>
      </c>
      <c r="G1738" s="25" t="str">
        <f ca="1">IFERROR(__xludf.DUMMYFUNCTION("""COMPUTED_VALUE"""),"HUANCANE")</f>
        <v>HUANCANE</v>
      </c>
      <c r="H1738" s="25" t="str">
        <f ca="1">IFERROR(__xludf.DUMMYFUNCTION("""COMPUTED_VALUE"""),"RURAL")</f>
        <v>RURAL</v>
      </c>
      <c r="I1738" s="25" t="str">
        <f ca="1">IFERROR(__xludf.DUMMYFUNCTION("""COMPUTED_VALUE"""),"Prioridad 1")</f>
        <v>Prioridad 1</v>
      </c>
      <c r="J1738" s="43" t="s">
        <v>262</v>
      </c>
    </row>
    <row r="1739" spans="2:10">
      <c r="B1739" s="25" t="str">
        <f ca="1">IFERROR(__xludf.DUMMYFUNCTION("""COMPUTED_VALUE"""),"MUNICIPALIDAD DISTRITAL")</f>
        <v>MUNICIPALIDAD DISTRITAL</v>
      </c>
      <c r="C1739" s="25" t="str">
        <f ca="1">IFERROR(__xludf.DUMMYFUNCTION("""COMPUTED_VALUE"""),"MUNICIPALIDAD DISTRITAL DE PUSI")</f>
        <v>MUNICIPALIDAD DISTRITAL DE PUSI</v>
      </c>
      <c r="D1739" s="25" t="str">
        <f ca="1">IFERROR(__xludf.DUMMYFUNCTION("""COMPUTED_VALUE"""),"PUNO")</f>
        <v>PUNO</v>
      </c>
      <c r="E1739" s="25" t="str">
        <f ca="1">IFERROR(__xludf.DUMMYFUNCTION("""COMPUTED_VALUE"""),"PUNO")</f>
        <v>PUNO</v>
      </c>
      <c r="F1739" s="25" t="str">
        <f ca="1">IFERROR(__xludf.DUMMYFUNCTION("""COMPUTED_VALUE"""),"HUANCANE")</f>
        <v>HUANCANE</v>
      </c>
      <c r="G1739" s="25" t="str">
        <f ca="1">IFERROR(__xludf.DUMMYFUNCTION("""COMPUTED_VALUE"""),"PUSI")</f>
        <v>PUSI</v>
      </c>
      <c r="H1739" s="25" t="str">
        <f ca="1">IFERROR(__xludf.DUMMYFUNCTION("""COMPUTED_VALUE"""),"RURAL")</f>
        <v>RURAL</v>
      </c>
      <c r="I1739" s="25" t="str">
        <f ca="1">IFERROR(__xludf.DUMMYFUNCTION("""COMPUTED_VALUE"""),"Prioridad 5")</f>
        <v>Prioridad 5</v>
      </c>
      <c r="J1739" s="43" t="s">
        <v>262</v>
      </c>
    </row>
    <row r="1740" spans="2:10">
      <c r="B1740" s="25" t="str">
        <f ca="1">IFERROR(__xludf.DUMMYFUNCTION("""COMPUTED_VALUE"""),"MUNICIPALIDAD DISTRITAL")</f>
        <v>MUNICIPALIDAD DISTRITAL</v>
      </c>
      <c r="C1740" s="25" t="str">
        <f ca="1">IFERROR(__xludf.DUMMYFUNCTION("""COMPUTED_VALUE"""),"MUNICIPALIDAD DISTRITAL DE VILQUE CHICO")</f>
        <v>MUNICIPALIDAD DISTRITAL DE VILQUE CHICO</v>
      </c>
      <c r="D1740" s="25" t="str">
        <f ca="1">IFERROR(__xludf.DUMMYFUNCTION("""COMPUTED_VALUE"""),"PUNO")</f>
        <v>PUNO</v>
      </c>
      <c r="E1740" s="25" t="str">
        <f ca="1">IFERROR(__xludf.DUMMYFUNCTION("""COMPUTED_VALUE"""),"PUNO")</f>
        <v>PUNO</v>
      </c>
      <c r="F1740" s="25" t="str">
        <f ca="1">IFERROR(__xludf.DUMMYFUNCTION("""COMPUTED_VALUE"""),"HUANCANE")</f>
        <v>HUANCANE</v>
      </c>
      <c r="G1740" s="25" t="str">
        <f ca="1">IFERROR(__xludf.DUMMYFUNCTION("""COMPUTED_VALUE"""),"VILQUE CHICO")</f>
        <v>VILQUE CHICO</v>
      </c>
      <c r="H1740" s="25" t="str">
        <f ca="1">IFERROR(__xludf.DUMMYFUNCTION("""COMPUTED_VALUE"""),"RURAL")</f>
        <v>RURAL</v>
      </c>
      <c r="I1740" s="25" t="str">
        <f ca="1">IFERROR(__xludf.DUMMYFUNCTION("""COMPUTED_VALUE"""),"Prioridad 5")</f>
        <v>Prioridad 5</v>
      </c>
      <c r="J1740" s="43" t="s">
        <v>262</v>
      </c>
    </row>
    <row r="1741" spans="2:10">
      <c r="B1741" s="25" t="str">
        <f ca="1">IFERROR(__xludf.DUMMYFUNCTION("""COMPUTED_VALUE"""),"MUNICIPALIDAD DISTRITAL")</f>
        <v>MUNICIPALIDAD DISTRITAL</v>
      </c>
      <c r="C1741" s="25" t="str">
        <f ca="1">IFERROR(__xludf.DUMMYFUNCTION("""COMPUTED_VALUE"""),"MUNICIPALIDAD DISTRITAL DE TARACO")</f>
        <v>MUNICIPALIDAD DISTRITAL DE TARACO</v>
      </c>
      <c r="D1741" s="25" t="str">
        <f ca="1">IFERROR(__xludf.DUMMYFUNCTION("""COMPUTED_VALUE"""),"PUNO")</f>
        <v>PUNO</v>
      </c>
      <c r="E1741" s="25" t="str">
        <f ca="1">IFERROR(__xludf.DUMMYFUNCTION("""COMPUTED_VALUE"""),"PUNO")</f>
        <v>PUNO</v>
      </c>
      <c r="F1741" s="25" t="str">
        <f ca="1">IFERROR(__xludf.DUMMYFUNCTION("""COMPUTED_VALUE"""),"HUANCANE")</f>
        <v>HUANCANE</v>
      </c>
      <c r="G1741" s="25" t="str">
        <f ca="1">IFERROR(__xludf.DUMMYFUNCTION("""COMPUTED_VALUE"""),"TARACO")</f>
        <v>TARACO</v>
      </c>
      <c r="H1741" s="25" t="str">
        <f ca="1">IFERROR(__xludf.DUMMYFUNCTION("""COMPUTED_VALUE"""),"RURAL")</f>
        <v>RURAL</v>
      </c>
      <c r="I1741" s="25" t="str">
        <f ca="1">IFERROR(__xludf.DUMMYFUNCTION("""COMPUTED_VALUE"""),"Prioridad 5")</f>
        <v>Prioridad 5</v>
      </c>
      <c r="J1741" s="43" t="s">
        <v>262</v>
      </c>
    </row>
    <row r="1742" spans="2:10">
      <c r="B1742" s="25" t="str">
        <f ca="1">IFERROR(__xludf.DUMMYFUNCTION("""COMPUTED_VALUE"""),"MUNICIPALIDAD DISTRITAL")</f>
        <v>MUNICIPALIDAD DISTRITAL</v>
      </c>
      <c r="C1742" s="25" t="str">
        <f ca="1">IFERROR(__xludf.DUMMYFUNCTION("""COMPUTED_VALUE"""),"MUNICIPALIDAD DISTRITAL DE HUATASANI")</f>
        <v>MUNICIPALIDAD DISTRITAL DE HUATASANI</v>
      </c>
      <c r="D1742" s="25" t="str">
        <f ca="1">IFERROR(__xludf.DUMMYFUNCTION("""COMPUTED_VALUE"""),"PUNO")</f>
        <v>PUNO</v>
      </c>
      <c r="E1742" s="25" t="str">
        <f ca="1">IFERROR(__xludf.DUMMYFUNCTION("""COMPUTED_VALUE"""),"PUNO")</f>
        <v>PUNO</v>
      </c>
      <c r="F1742" s="25" t="str">
        <f ca="1">IFERROR(__xludf.DUMMYFUNCTION("""COMPUTED_VALUE"""),"HUANCANE")</f>
        <v>HUANCANE</v>
      </c>
      <c r="G1742" s="25" t="str">
        <f ca="1">IFERROR(__xludf.DUMMYFUNCTION("""COMPUTED_VALUE"""),"HUATASANI")</f>
        <v>HUATASANI</v>
      </c>
      <c r="H1742" s="25" t="str">
        <f ca="1">IFERROR(__xludf.DUMMYFUNCTION("""COMPUTED_VALUE"""),"RURAL")</f>
        <v>RURAL</v>
      </c>
      <c r="I1742" s="25" t="str">
        <f ca="1">IFERROR(__xludf.DUMMYFUNCTION("""COMPUTED_VALUE"""),"Prioridad 4")</f>
        <v>Prioridad 4</v>
      </c>
      <c r="J1742" s="43" t="s">
        <v>262</v>
      </c>
    </row>
    <row r="1743" spans="2:10">
      <c r="B1743" s="25" t="str">
        <f ca="1">IFERROR(__xludf.DUMMYFUNCTION("""COMPUTED_VALUE"""),"MUNICIPALIDAD DISTRITAL")</f>
        <v>MUNICIPALIDAD DISTRITAL</v>
      </c>
      <c r="C1743" s="25" t="str">
        <f ca="1">IFERROR(__xludf.DUMMYFUNCTION("""COMPUTED_VALUE"""),"MUNICIPALIDAD DISTRITAL DE COJATA")</f>
        <v>MUNICIPALIDAD DISTRITAL DE COJATA</v>
      </c>
      <c r="D1743" s="25" t="str">
        <f ca="1">IFERROR(__xludf.DUMMYFUNCTION("""COMPUTED_VALUE"""),"PUNO")</f>
        <v>PUNO</v>
      </c>
      <c r="E1743" s="25" t="str">
        <f ca="1">IFERROR(__xludf.DUMMYFUNCTION("""COMPUTED_VALUE"""),"PUNO")</f>
        <v>PUNO</v>
      </c>
      <c r="F1743" s="25" t="str">
        <f ca="1">IFERROR(__xludf.DUMMYFUNCTION("""COMPUTED_VALUE"""),"HUANCANE")</f>
        <v>HUANCANE</v>
      </c>
      <c r="G1743" s="25" t="str">
        <f ca="1">IFERROR(__xludf.DUMMYFUNCTION("""COMPUTED_VALUE"""),"COJATA")</f>
        <v>COJATA</v>
      </c>
      <c r="H1743" s="25" t="str">
        <f ca="1">IFERROR(__xludf.DUMMYFUNCTION("""COMPUTED_VALUE"""),"RURAL")</f>
        <v>RURAL</v>
      </c>
      <c r="I1743" s="25" t="str">
        <f ca="1">IFERROR(__xludf.DUMMYFUNCTION("""COMPUTED_VALUE"""),"Prioridad 3")</f>
        <v>Prioridad 3</v>
      </c>
      <c r="J1743" s="43" t="s">
        <v>262</v>
      </c>
    </row>
    <row r="1744" spans="2:10">
      <c r="B1744" s="25" t="str">
        <f ca="1">IFERROR(__xludf.DUMMYFUNCTION("""COMPUTED_VALUE"""),"MUNICIPALIDAD DISTRITAL")</f>
        <v>MUNICIPALIDAD DISTRITAL</v>
      </c>
      <c r="C1744" s="25" t="str">
        <f ca="1">IFERROR(__xludf.DUMMYFUNCTION("""COMPUTED_VALUE"""),"MUNICIPALIDAD DISTRITAL DE INCHUPALLA")</f>
        <v>MUNICIPALIDAD DISTRITAL DE INCHUPALLA</v>
      </c>
      <c r="D1744" s="25" t="str">
        <f ca="1">IFERROR(__xludf.DUMMYFUNCTION("""COMPUTED_VALUE"""),"PUNO")</f>
        <v>PUNO</v>
      </c>
      <c r="E1744" s="25" t="str">
        <f ca="1">IFERROR(__xludf.DUMMYFUNCTION("""COMPUTED_VALUE"""),"PUNO")</f>
        <v>PUNO</v>
      </c>
      <c r="F1744" s="25" t="str">
        <f ca="1">IFERROR(__xludf.DUMMYFUNCTION("""COMPUTED_VALUE"""),"HUANCANE")</f>
        <v>HUANCANE</v>
      </c>
      <c r="G1744" s="25" t="str">
        <f ca="1">IFERROR(__xludf.DUMMYFUNCTION("""COMPUTED_VALUE"""),"INCHUPALLA")</f>
        <v>INCHUPALLA</v>
      </c>
      <c r="H1744" s="25" t="str">
        <f ca="1">IFERROR(__xludf.DUMMYFUNCTION("""COMPUTED_VALUE"""),"RURAL")</f>
        <v>RURAL</v>
      </c>
      <c r="I1744" s="25" t="str">
        <f ca="1">IFERROR(__xludf.DUMMYFUNCTION("""COMPUTED_VALUE"""),"Prioridad 5")</f>
        <v>Prioridad 5</v>
      </c>
      <c r="J1744" s="43" t="s">
        <v>262</v>
      </c>
    </row>
    <row r="1745" spans="2:10">
      <c r="B1745" s="25" t="str">
        <f ca="1">IFERROR(__xludf.DUMMYFUNCTION("""COMPUTED_VALUE"""),"MUNICIPALIDAD DISTRITAL")</f>
        <v>MUNICIPALIDAD DISTRITAL</v>
      </c>
      <c r="C1745" s="25" t="str">
        <f ca="1">IFERROR(__xludf.DUMMYFUNCTION("""COMPUTED_VALUE"""),"MUNICIPALIDAD DISTRITAL DE ROSASPATA")</f>
        <v>MUNICIPALIDAD DISTRITAL DE ROSASPATA</v>
      </c>
      <c r="D1745" s="25" t="str">
        <f ca="1">IFERROR(__xludf.DUMMYFUNCTION("""COMPUTED_VALUE"""),"PUNO")</f>
        <v>PUNO</v>
      </c>
      <c r="E1745" s="25" t="str">
        <f ca="1">IFERROR(__xludf.DUMMYFUNCTION("""COMPUTED_VALUE"""),"PUNO")</f>
        <v>PUNO</v>
      </c>
      <c r="F1745" s="25" t="str">
        <f ca="1">IFERROR(__xludf.DUMMYFUNCTION("""COMPUTED_VALUE"""),"HUANCANE")</f>
        <v>HUANCANE</v>
      </c>
      <c r="G1745" s="25" t="str">
        <f ca="1">IFERROR(__xludf.DUMMYFUNCTION("""COMPUTED_VALUE"""),"ROSASPATA")</f>
        <v>ROSASPATA</v>
      </c>
      <c r="H1745" s="25" t="str">
        <f ca="1">IFERROR(__xludf.DUMMYFUNCTION("""COMPUTED_VALUE"""),"RURAL")</f>
        <v>RURAL</v>
      </c>
      <c r="I1745" s="25" t="str">
        <f ca="1">IFERROR(__xludf.DUMMYFUNCTION("""COMPUTED_VALUE"""),"Prioridad 5")</f>
        <v>Prioridad 5</v>
      </c>
      <c r="J1745" s="43" t="s">
        <v>262</v>
      </c>
    </row>
    <row r="1746" spans="2:10">
      <c r="B1746" s="25" t="str">
        <f ca="1">IFERROR(__xludf.DUMMYFUNCTION("""COMPUTED_VALUE"""),"MUNICIPALIDAD DISTRITAL")</f>
        <v>MUNICIPALIDAD DISTRITAL</v>
      </c>
      <c r="C1746" s="25" t="str">
        <f ca="1">IFERROR(__xludf.DUMMYFUNCTION("""COMPUTED_VALUE"""),"MUNICIPALIDAD DISTRITAL DE CABANILLA")</f>
        <v>MUNICIPALIDAD DISTRITAL DE CABANILLA</v>
      </c>
      <c r="D1746" s="25" t="str">
        <f ca="1">IFERROR(__xludf.DUMMYFUNCTION("""COMPUTED_VALUE"""),"PUNO")</f>
        <v>PUNO</v>
      </c>
      <c r="E1746" s="25" t="str">
        <f ca="1">IFERROR(__xludf.DUMMYFUNCTION("""COMPUTED_VALUE"""),"PUNO")</f>
        <v>PUNO</v>
      </c>
      <c r="F1746" s="25" t="str">
        <f ca="1">IFERROR(__xludf.DUMMYFUNCTION("""COMPUTED_VALUE"""),"LAMPA")</f>
        <v>LAMPA</v>
      </c>
      <c r="G1746" s="25" t="str">
        <f ca="1">IFERROR(__xludf.DUMMYFUNCTION("""COMPUTED_VALUE"""),"CABANILLA")</f>
        <v>CABANILLA</v>
      </c>
      <c r="H1746" s="25" t="str">
        <f ca="1">IFERROR(__xludf.DUMMYFUNCTION("""COMPUTED_VALUE"""),"RURAL")</f>
        <v>RURAL</v>
      </c>
      <c r="I1746" s="25" t="str">
        <f ca="1">IFERROR(__xludf.DUMMYFUNCTION("""COMPUTED_VALUE"""),"Prioridad 4")</f>
        <v>Prioridad 4</v>
      </c>
      <c r="J1746" s="43" t="s">
        <v>262</v>
      </c>
    </row>
    <row r="1747" spans="2:10">
      <c r="B1747" s="25" t="str">
        <f ca="1">IFERROR(__xludf.DUMMYFUNCTION("""COMPUTED_VALUE"""),"MUNICIPALIDAD DISTRITAL")</f>
        <v>MUNICIPALIDAD DISTRITAL</v>
      </c>
      <c r="C1747" s="25" t="str">
        <f ca="1">IFERROR(__xludf.DUMMYFUNCTION("""COMPUTED_VALUE"""),"MUNICIPALIDAD DISTRITAL DE CALAPUJA")</f>
        <v>MUNICIPALIDAD DISTRITAL DE CALAPUJA</v>
      </c>
      <c r="D1747" s="25" t="str">
        <f ca="1">IFERROR(__xludf.DUMMYFUNCTION("""COMPUTED_VALUE"""),"PUNO")</f>
        <v>PUNO</v>
      </c>
      <c r="E1747" s="25" t="str">
        <f ca="1">IFERROR(__xludf.DUMMYFUNCTION("""COMPUTED_VALUE"""),"PUNO")</f>
        <v>PUNO</v>
      </c>
      <c r="F1747" s="25" t="str">
        <f ca="1">IFERROR(__xludf.DUMMYFUNCTION("""COMPUTED_VALUE"""),"LAMPA")</f>
        <v>LAMPA</v>
      </c>
      <c r="G1747" s="25" t="str">
        <f ca="1">IFERROR(__xludf.DUMMYFUNCTION("""COMPUTED_VALUE"""),"CALAPUJA")</f>
        <v>CALAPUJA</v>
      </c>
      <c r="H1747" s="25" t="str">
        <f ca="1">IFERROR(__xludf.DUMMYFUNCTION("""COMPUTED_VALUE"""),"RURAL")</f>
        <v>RURAL</v>
      </c>
      <c r="I1747" s="25" t="str">
        <f ca="1">IFERROR(__xludf.DUMMYFUNCTION("""COMPUTED_VALUE"""),"Prioridad 3")</f>
        <v>Prioridad 3</v>
      </c>
      <c r="J1747" s="43" t="s">
        <v>262</v>
      </c>
    </row>
    <row r="1748" spans="2:10">
      <c r="B1748" s="25" t="str">
        <f ca="1">IFERROR(__xludf.DUMMYFUNCTION("""COMPUTED_VALUE"""),"UNIVERSIDAD PRIVADA")</f>
        <v>UNIVERSIDAD PRIVADA</v>
      </c>
      <c r="C1748" s="25" t="str">
        <f ca="1">IFERROR(__xludf.DUMMYFUNCTION("""COMPUTED_VALUE"""),"UNIVERSIDAD JOSÉ CARLOS MARIÁTEGUI")</f>
        <v>UNIVERSIDAD JOSÉ CARLOS MARIÁTEGUI</v>
      </c>
      <c r="D1748" s="25" t="str">
        <f ca="1">IFERROR(__xludf.DUMMYFUNCTION("""COMPUTED_VALUE"""),"TACNA")</f>
        <v>TACNA</v>
      </c>
      <c r="E1748" s="25" t="str">
        <f ca="1">IFERROR(__xludf.DUMMYFUNCTION("""COMPUTED_VALUE"""),"MOQUEGUA")</f>
        <v>MOQUEGUA</v>
      </c>
      <c r="F1748" s="25" t="str">
        <f ca="1">IFERROR(__xludf.DUMMYFUNCTION("""COMPUTED_VALUE"""),"MARISCAL NIETO")</f>
        <v>MARISCAL NIETO</v>
      </c>
      <c r="G1748" s="25" t="str">
        <f ca="1">IFERROR(__xludf.DUMMYFUNCTION("""COMPUTED_VALUE"""),"MOQUEGUA")</f>
        <v>MOQUEGUA</v>
      </c>
      <c r="H1748" s="25"/>
      <c r="I1748" s="25" t="str">
        <f ca="1">IFERROR(__xludf.DUMMYFUNCTION("""COMPUTED_VALUE"""),"Prioridad 2")</f>
        <v>Prioridad 2</v>
      </c>
      <c r="J1748" s="43" t="s">
        <v>262</v>
      </c>
    </row>
    <row r="1749" spans="2:10">
      <c r="B1749" s="25" t="str">
        <f ca="1">IFERROR(__xludf.DUMMYFUNCTION("""COMPUTED_VALUE"""),"MUNICIPALIDAD PROVINCIAL")</f>
        <v>MUNICIPALIDAD PROVINCIAL</v>
      </c>
      <c r="C1749" s="25" t="str">
        <f ca="1">IFERROR(__xludf.DUMMYFUNCTION("""COMPUTED_VALUE"""),"MUNICIPALIDAD PROVINCIAL DE LAMPA")</f>
        <v>MUNICIPALIDAD PROVINCIAL DE LAMPA</v>
      </c>
      <c r="D1749" s="25" t="str">
        <f ca="1">IFERROR(__xludf.DUMMYFUNCTION("""COMPUTED_VALUE"""),"PUNO")</f>
        <v>PUNO</v>
      </c>
      <c r="E1749" s="25" t="str">
        <f ca="1">IFERROR(__xludf.DUMMYFUNCTION("""COMPUTED_VALUE"""),"PUNO")</f>
        <v>PUNO</v>
      </c>
      <c r="F1749" s="25" t="str">
        <f ca="1">IFERROR(__xludf.DUMMYFUNCTION("""COMPUTED_VALUE"""),"LAMPA")</f>
        <v>LAMPA</v>
      </c>
      <c r="G1749" s="25" t="str">
        <f ca="1">IFERROR(__xludf.DUMMYFUNCTION("""COMPUTED_VALUE"""),"LAMPA")</f>
        <v>LAMPA</v>
      </c>
      <c r="H1749" s="25" t="str">
        <f ca="1">IFERROR(__xludf.DUMMYFUNCTION("""COMPUTED_VALUE"""),"RURAL")</f>
        <v>RURAL</v>
      </c>
      <c r="I1749" s="25" t="str">
        <f ca="1">IFERROR(__xludf.DUMMYFUNCTION("""COMPUTED_VALUE"""),"Prioridad 1")</f>
        <v>Prioridad 1</v>
      </c>
      <c r="J1749" s="43" t="s">
        <v>262</v>
      </c>
    </row>
    <row r="1750" spans="2:10">
      <c r="B1750" s="25" t="str">
        <f ca="1">IFERROR(__xludf.DUMMYFUNCTION("""COMPUTED_VALUE"""),"MUNICIPALIDAD DISTRITAL")</f>
        <v>MUNICIPALIDAD DISTRITAL</v>
      </c>
      <c r="C1750" s="25" t="str">
        <f ca="1">IFERROR(__xludf.DUMMYFUNCTION("""COMPUTED_VALUE"""),"MUNICIPALIDAD DISTRITAL DE NICASIO")</f>
        <v>MUNICIPALIDAD DISTRITAL DE NICASIO</v>
      </c>
      <c r="D1750" s="25" t="str">
        <f ca="1">IFERROR(__xludf.DUMMYFUNCTION("""COMPUTED_VALUE"""),"PUNO")</f>
        <v>PUNO</v>
      </c>
      <c r="E1750" s="25" t="str">
        <f ca="1">IFERROR(__xludf.DUMMYFUNCTION("""COMPUTED_VALUE"""),"PUNO")</f>
        <v>PUNO</v>
      </c>
      <c r="F1750" s="25" t="str">
        <f ca="1">IFERROR(__xludf.DUMMYFUNCTION("""COMPUTED_VALUE"""),"LAMPA")</f>
        <v>LAMPA</v>
      </c>
      <c r="G1750" s="25" t="str">
        <f ca="1">IFERROR(__xludf.DUMMYFUNCTION("""COMPUTED_VALUE"""),"NICASIO")</f>
        <v>NICASIO</v>
      </c>
      <c r="H1750" s="25" t="str">
        <f ca="1">IFERROR(__xludf.DUMMYFUNCTION("""COMPUTED_VALUE"""),"RURAL")</f>
        <v>RURAL</v>
      </c>
      <c r="I1750" s="25" t="str">
        <f ca="1">IFERROR(__xludf.DUMMYFUNCTION("""COMPUTED_VALUE"""),"Prioridad 5")</f>
        <v>Prioridad 5</v>
      </c>
      <c r="J1750" s="43" t="s">
        <v>262</v>
      </c>
    </row>
    <row r="1751" spans="2:10">
      <c r="B1751" s="25" t="str">
        <f ca="1">IFERROR(__xludf.DUMMYFUNCTION("""COMPUTED_VALUE"""),"MUNICIPALIDAD DISTRITAL")</f>
        <v>MUNICIPALIDAD DISTRITAL</v>
      </c>
      <c r="C1751" s="25" t="str">
        <f ca="1">IFERROR(__xludf.DUMMYFUNCTION("""COMPUTED_VALUE"""),"MUNICIPALIDAD DISTRITAL DE OCUVIRI")</f>
        <v>MUNICIPALIDAD DISTRITAL DE OCUVIRI</v>
      </c>
      <c r="D1751" s="25" t="str">
        <f ca="1">IFERROR(__xludf.DUMMYFUNCTION("""COMPUTED_VALUE"""),"PUNO")</f>
        <v>PUNO</v>
      </c>
      <c r="E1751" s="25" t="str">
        <f ca="1">IFERROR(__xludf.DUMMYFUNCTION("""COMPUTED_VALUE"""),"PUNO")</f>
        <v>PUNO</v>
      </c>
      <c r="F1751" s="25" t="str">
        <f ca="1">IFERROR(__xludf.DUMMYFUNCTION("""COMPUTED_VALUE"""),"LAMPA")</f>
        <v>LAMPA</v>
      </c>
      <c r="G1751" s="25" t="str">
        <f ca="1">IFERROR(__xludf.DUMMYFUNCTION("""COMPUTED_VALUE"""),"OCUVIRI")</f>
        <v>OCUVIRI</v>
      </c>
      <c r="H1751" s="25" t="str">
        <f ca="1">IFERROR(__xludf.DUMMYFUNCTION("""COMPUTED_VALUE"""),"RURAL")</f>
        <v>RURAL</v>
      </c>
      <c r="I1751" s="25" t="str">
        <f ca="1">IFERROR(__xludf.DUMMYFUNCTION("""COMPUTED_VALUE"""),"Prioridad 3")</f>
        <v>Prioridad 3</v>
      </c>
      <c r="J1751" s="43" t="s">
        <v>262</v>
      </c>
    </row>
    <row r="1752" spans="2:10">
      <c r="B1752" s="25" t="str">
        <f ca="1">IFERROR(__xludf.DUMMYFUNCTION("""COMPUTED_VALUE"""),"MUNICIPALIDAD DISTRITAL")</f>
        <v>MUNICIPALIDAD DISTRITAL</v>
      </c>
      <c r="C1752" s="25" t="str">
        <f ca="1">IFERROR(__xludf.DUMMYFUNCTION("""COMPUTED_VALUE"""),"MUNICIPALIDAD DISTRITAL DE PALCA EN LAMPA")</f>
        <v>MUNICIPALIDAD DISTRITAL DE PALCA EN LAMPA</v>
      </c>
      <c r="D1752" s="25" t="str">
        <f ca="1">IFERROR(__xludf.DUMMYFUNCTION("""COMPUTED_VALUE"""),"PUNO")</f>
        <v>PUNO</v>
      </c>
      <c r="E1752" s="25" t="str">
        <f ca="1">IFERROR(__xludf.DUMMYFUNCTION("""COMPUTED_VALUE"""),"PUNO")</f>
        <v>PUNO</v>
      </c>
      <c r="F1752" s="25" t="str">
        <f ca="1">IFERROR(__xludf.DUMMYFUNCTION("""COMPUTED_VALUE"""),"LAMPA")</f>
        <v>LAMPA</v>
      </c>
      <c r="G1752" s="25" t="str">
        <f ca="1">IFERROR(__xludf.DUMMYFUNCTION("""COMPUTED_VALUE"""),"PALCA")</f>
        <v>PALCA</v>
      </c>
      <c r="H1752" s="25" t="str">
        <f ca="1">IFERROR(__xludf.DUMMYFUNCTION("""COMPUTED_VALUE"""),"RURAL")</f>
        <v>RURAL</v>
      </c>
      <c r="I1752" s="25" t="str">
        <f ca="1">IFERROR(__xludf.DUMMYFUNCTION("""COMPUTED_VALUE"""),"Prioridad 3")</f>
        <v>Prioridad 3</v>
      </c>
      <c r="J1752" s="43" t="s">
        <v>262</v>
      </c>
    </row>
    <row r="1753" spans="2:10">
      <c r="B1753" s="25" t="str">
        <f ca="1">IFERROR(__xludf.DUMMYFUNCTION("""COMPUTED_VALUE"""),"MUNICIPALIDAD DISTRITAL")</f>
        <v>MUNICIPALIDAD DISTRITAL</v>
      </c>
      <c r="C1753" s="25" t="str">
        <f ca="1">IFERROR(__xludf.DUMMYFUNCTION("""COMPUTED_VALUE"""),"MUNICIPALIDAD DISTRITAL DE PARATIA")</f>
        <v>MUNICIPALIDAD DISTRITAL DE PARATIA</v>
      </c>
      <c r="D1753" s="25" t="str">
        <f ca="1">IFERROR(__xludf.DUMMYFUNCTION("""COMPUTED_VALUE"""),"PUNO")</f>
        <v>PUNO</v>
      </c>
      <c r="E1753" s="25" t="str">
        <f ca="1">IFERROR(__xludf.DUMMYFUNCTION("""COMPUTED_VALUE"""),"PUNO")</f>
        <v>PUNO</v>
      </c>
      <c r="F1753" s="25" t="str">
        <f ca="1">IFERROR(__xludf.DUMMYFUNCTION("""COMPUTED_VALUE"""),"LAMPA")</f>
        <v>LAMPA</v>
      </c>
      <c r="G1753" s="25" t="str">
        <f ca="1">IFERROR(__xludf.DUMMYFUNCTION("""COMPUTED_VALUE"""),"PARATIA")</f>
        <v>PARATIA</v>
      </c>
      <c r="H1753" s="25" t="str">
        <f ca="1">IFERROR(__xludf.DUMMYFUNCTION("""COMPUTED_VALUE"""),"RURAL")</f>
        <v>RURAL</v>
      </c>
      <c r="I1753" s="25" t="str">
        <f ca="1">IFERROR(__xludf.DUMMYFUNCTION("""COMPUTED_VALUE"""),"Prioridad 4")</f>
        <v>Prioridad 4</v>
      </c>
      <c r="J1753" s="43" t="s">
        <v>262</v>
      </c>
    </row>
    <row r="1754" spans="2:10">
      <c r="B1754" s="25" t="str">
        <f ca="1">IFERROR(__xludf.DUMMYFUNCTION("""COMPUTED_VALUE"""),"MUNICIPALIDAD DISTRITAL")</f>
        <v>MUNICIPALIDAD DISTRITAL</v>
      </c>
      <c r="C1754" s="25" t="str">
        <f ca="1">IFERROR(__xludf.DUMMYFUNCTION("""COMPUTED_VALUE"""),"MUNICIPALIDAD DISTRITAL DE PUCARA EN LAMPA")</f>
        <v>MUNICIPALIDAD DISTRITAL DE PUCARA EN LAMPA</v>
      </c>
      <c r="D1754" s="25" t="str">
        <f ca="1">IFERROR(__xludf.DUMMYFUNCTION("""COMPUTED_VALUE"""),"PUNO")</f>
        <v>PUNO</v>
      </c>
      <c r="E1754" s="25" t="str">
        <f ca="1">IFERROR(__xludf.DUMMYFUNCTION("""COMPUTED_VALUE"""),"PUNO")</f>
        <v>PUNO</v>
      </c>
      <c r="F1754" s="25" t="str">
        <f ca="1">IFERROR(__xludf.DUMMYFUNCTION("""COMPUTED_VALUE"""),"LAMPA")</f>
        <v>LAMPA</v>
      </c>
      <c r="G1754" s="25" t="str">
        <f ca="1">IFERROR(__xludf.DUMMYFUNCTION("""COMPUTED_VALUE"""),"PUCARA")</f>
        <v>PUCARA</v>
      </c>
      <c r="H1754" s="25" t="str">
        <f ca="1">IFERROR(__xludf.DUMMYFUNCTION("""COMPUTED_VALUE"""),"RURAL")</f>
        <v>RURAL</v>
      </c>
      <c r="I1754" s="25" t="str">
        <f ca="1">IFERROR(__xludf.DUMMYFUNCTION("""COMPUTED_VALUE"""),"Prioridad 3")</f>
        <v>Prioridad 3</v>
      </c>
      <c r="J1754" s="43" t="s">
        <v>262</v>
      </c>
    </row>
    <row r="1755" spans="2:10">
      <c r="B1755" s="25" t="str">
        <f ca="1">IFERROR(__xludf.DUMMYFUNCTION("""COMPUTED_VALUE"""),"MUNICIPALIDAD DISTRITAL")</f>
        <v>MUNICIPALIDAD DISTRITAL</v>
      </c>
      <c r="C1755" s="25" t="str">
        <f ca="1">IFERROR(__xludf.DUMMYFUNCTION("""COMPUTED_VALUE"""),"MUNICIPALIDAD DISTRITAL DE SANTA LUCIA EN LAMPA")</f>
        <v>MUNICIPALIDAD DISTRITAL DE SANTA LUCIA EN LAMPA</v>
      </c>
      <c r="D1755" s="25" t="str">
        <f ca="1">IFERROR(__xludf.DUMMYFUNCTION("""COMPUTED_VALUE"""),"PUNO")</f>
        <v>PUNO</v>
      </c>
      <c r="E1755" s="25" t="str">
        <f ca="1">IFERROR(__xludf.DUMMYFUNCTION("""COMPUTED_VALUE"""),"PUNO")</f>
        <v>PUNO</v>
      </c>
      <c r="F1755" s="25" t="str">
        <f ca="1">IFERROR(__xludf.DUMMYFUNCTION("""COMPUTED_VALUE"""),"LAMPA")</f>
        <v>LAMPA</v>
      </c>
      <c r="G1755" s="25" t="str">
        <f ca="1">IFERROR(__xludf.DUMMYFUNCTION("""COMPUTED_VALUE"""),"SANTA LUCIA")</f>
        <v>SANTA LUCIA</v>
      </c>
      <c r="H1755" s="25" t="str">
        <f ca="1">IFERROR(__xludf.DUMMYFUNCTION("""COMPUTED_VALUE"""),"URBANO")</f>
        <v>URBANO</v>
      </c>
      <c r="I1755" s="25" t="str">
        <f ca="1">IFERROR(__xludf.DUMMYFUNCTION("""COMPUTED_VALUE"""),"Prioridad 2")</f>
        <v>Prioridad 2</v>
      </c>
      <c r="J1755" s="43" t="s">
        <v>262</v>
      </c>
    </row>
    <row r="1756" spans="2:10">
      <c r="B1756" s="25" t="str">
        <f ca="1">IFERROR(__xludf.DUMMYFUNCTION("""COMPUTED_VALUE"""),"MUNICIPALIDAD DISTRITAL")</f>
        <v>MUNICIPALIDAD DISTRITAL</v>
      </c>
      <c r="C1756" s="25" t="str">
        <f ca="1">IFERROR(__xludf.DUMMYFUNCTION("""COMPUTED_VALUE"""),"MUNICIPALIDAD DISTRITAL DE VILAVILA")</f>
        <v>MUNICIPALIDAD DISTRITAL DE VILAVILA</v>
      </c>
      <c r="D1756" s="25" t="str">
        <f ca="1">IFERROR(__xludf.DUMMYFUNCTION("""COMPUTED_VALUE"""),"PUNO")</f>
        <v>PUNO</v>
      </c>
      <c r="E1756" s="25" t="str">
        <f ca="1">IFERROR(__xludf.DUMMYFUNCTION("""COMPUTED_VALUE"""),"PUNO")</f>
        <v>PUNO</v>
      </c>
      <c r="F1756" s="25" t="str">
        <f ca="1">IFERROR(__xludf.DUMMYFUNCTION("""COMPUTED_VALUE"""),"LAMPA")</f>
        <v>LAMPA</v>
      </c>
      <c r="G1756" s="25" t="str">
        <f ca="1">IFERROR(__xludf.DUMMYFUNCTION("""COMPUTED_VALUE"""),"VILAVILA")</f>
        <v>VILAVILA</v>
      </c>
      <c r="H1756" s="25" t="str">
        <f ca="1">IFERROR(__xludf.DUMMYFUNCTION("""COMPUTED_VALUE"""),"RURAL")</f>
        <v>RURAL</v>
      </c>
      <c r="I1756" s="25" t="str">
        <f ca="1">IFERROR(__xludf.DUMMYFUNCTION("""COMPUTED_VALUE"""),"Prioridad 4")</f>
        <v>Prioridad 4</v>
      </c>
      <c r="J1756" s="43" t="s">
        <v>262</v>
      </c>
    </row>
    <row r="1757" spans="2:10">
      <c r="B1757" s="25" t="str">
        <f ca="1">IFERROR(__xludf.DUMMYFUNCTION("""COMPUTED_VALUE"""),"MUNICIPALIDAD DISTRITAL")</f>
        <v>MUNICIPALIDAD DISTRITAL</v>
      </c>
      <c r="C1757" s="25" t="str">
        <f ca="1">IFERROR(__xludf.DUMMYFUNCTION("""COMPUTED_VALUE"""),"MUNICIPALIDAD DISTRITAL DE ANTAUTA")</f>
        <v>MUNICIPALIDAD DISTRITAL DE ANTAUTA</v>
      </c>
      <c r="D1757" s="25" t="str">
        <f ca="1">IFERROR(__xludf.DUMMYFUNCTION("""COMPUTED_VALUE"""),"PUNO")</f>
        <v>PUNO</v>
      </c>
      <c r="E1757" s="25" t="str">
        <f ca="1">IFERROR(__xludf.DUMMYFUNCTION("""COMPUTED_VALUE"""),"PUNO")</f>
        <v>PUNO</v>
      </c>
      <c r="F1757" s="25" t="str">
        <f ca="1">IFERROR(__xludf.DUMMYFUNCTION("""COMPUTED_VALUE"""),"MELGAR")</f>
        <v>MELGAR</v>
      </c>
      <c r="G1757" s="25" t="str">
        <f ca="1">IFERROR(__xludf.DUMMYFUNCTION("""COMPUTED_VALUE"""),"ANTAUTA")</f>
        <v>ANTAUTA</v>
      </c>
      <c r="H1757" s="25" t="str">
        <f ca="1">IFERROR(__xludf.DUMMYFUNCTION("""COMPUTED_VALUE"""),"URBANO")</f>
        <v>URBANO</v>
      </c>
      <c r="I1757" s="25" t="str">
        <f ca="1">IFERROR(__xludf.DUMMYFUNCTION("""COMPUTED_VALUE"""),"Prioridad 1")</f>
        <v>Prioridad 1</v>
      </c>
      <c r="J1757" s="43" t="s">
        <v>262</v>
      </c>
    </row>
    <row r="1758" spans="2:10">
      <c r="B1758" s="25" t="str">
        <f ca="1">IFERROR(__xludf.DUMMYFUNCTION("""COMPUTED_VALUE"""),"MUNICIPALIDAD PROVINCIAL")</f>
        <v>MUNICIPALIDAD PROVINCIAL</v>
      </c>
      <c r="C1758" s="25" t="str">
        <f ca="1">IFERROR(__xludf.DUMMYFUNCTION("""COMPUTED_VALUE"""),"MUNICIPALIDAD PROVINCIAL DE MELGAR")</f>
        <v>MUNICIPALIDAD PROVINCIAL DE MELGAR</v>
      </c>
      <c r="D1758" s="25" t="str">
        <f ca="1">IFERROR(__xludf.DUMMYFUNCTION("""COMPUTED_VALUE"""),"PUNO")</f>
        <v>PUNO</v>
      </c>
      <c r="E1758" s="25" t="str">
        <f ca="1">IFERROR(__xludf.DUMMYFUNCTION("""COMPUTED_VALUE"""),"PUNO")</f>
        <v>PUNO</v>
      </c>
      <c r="F1758" s="25" t="str">
        <f ca="1">IFERROR(__xludf.DUMMYFUNCTION("""COMPUTED_VALUE"""),"MELGAR")</f>
        <v>MELGAR</v>
      </c>
      <c r="G1758" s="25" t="str">
        <f ca="1">IFERROR(__xludf.DUMMYFUNCTION("""COMPUTED_VALUE"""),"AYAVIRI")</f>
        <v>AYAVIRI</v>
      </c>
      <c r="H1758" s="25" t="str">
        <f ca="1">IFERROR(__xludf.DUMMYFUNCTION("""COMPUTED_VALUE"""),"URBANO")</f>
        <v>URBANO</v>
      </c>
      <c r="I1758" s="25" t="str">
        <f ca="1">IFERROR(__xludf.DUMMYFUNCTION("""COMPUTED_VALUE"""),"Prioridad 1")</f>
        <v>Prioridad 1</v>
      </c>
      <c r="J1758" s="43" t="s">
        <v>262</v>
      </c>
    </row>
    <row r="1759" spans="2:10">
      <c r="B1759" s="25" t="str">
        <f ca="1">IFERROR(__xludf.DUMMYFUNCTION("""COMPUTED_VALUE"""),"MUNICIPALIDAD DISTRITAL")</f>
        <v>MUNICIPALIDAD DISTRITAL</v>
      </c>
      <c r="C1759" s="25" t="str">
        <f ca="1">IFERROR(__xludf.DUMMYFUNCTION("""COMPUTED_VALUE"""),"MUNICIPALIDAD DISTRITAL DE CUPI")</f>
        <v>MUNICIPALIDAD DISTRITAL DE CUPI</v>
      </c>
      <c r="D1759" s="25" t="str">
        <f ca="1">IFERROR(__xludf.DUMMYFUNCTION("""COMPUTED_VALUE"""),"PUNO")</f>
        <v>PUNO</v>
      </c>
      <c r="E1759" s="25" t="str">
        <f ca="1">IFERROR(__xludf.DUMMYFUNCTION("""COMPUTED_VALUE"""),"PUNO")</f>
        <v>PUNO</v>
      </c>
      <c r="F1759" s="25" t="str">
        <f ca="1">IFERROR(__xludf.DUMMYFUNCTION("""COMPUTED_VALUE"""),"MELGAR")</f>
        <v>MELGAR</v>
      </c>
      <c r="G1759" s="25" t="str">
        <f ca="1">IFERROR(__xludf.DUMMYFUNCTION("""COMPUTED_VALUE"""),"CUPI")</f>
        <v>CUPI</v>
      </c>
      <c r="H1759" s="25" t="str">
        <f ca="1">IFERROR(__xludf.DUMMYFUNCTION("""COMPUTED_VALUE"""),"RURAL")</f>
        <v>RURAL</v>
      </c>
      <c r="I1759" s="25" t="str">
        <f ca="1">IFERROR(__xludf.DUMMYFUNCTION("""COMPUTED_VALUE"""),"Prioridad 4")</f>
        <v>Prioridad 4</v>
      </c>
      <c r="J1759" s="43" t="s">
        <v>262</v>
      </c>
    </row>
    <row r="1760" spans="2:10">
      <c r="B1760" s="25" t="str">
        <f ca="1">IFERROR(__xludf.DUMMYFUNCTION("""COMPUTED_VALUE"""),"MUNICIPALIDAD DISTRITAL")</f>
        <v>MUNICIPALIDAD DISTRITAL</v>
      </c>
      <c r="C1760" s="25" t="str">
        <f ca="1">IFERROR(__xludf.DUMMYFUNCTION("""COMPUTED_VALUE"""),"MUNICIPALIDAD DISTRITAL DE LLALLI")</f>
        <v>MUNICIPALIDAD DISTRITAL DE LLALLI</v>
      </c>
      <c r="D1760" s="25" t="str">
        <f ca="1">IFERROR(__xludf.DUMMYFUNCTION("""COMPUTED_VALUE"""),"PUNO")</f>
        <v>PUNO</v>
      </c>
      <c r="E1760" s="25" t="str">
        <f ca="1">IFERROR(__xludf.DUMMYFUNCTION("""COMPUTED_VALUE"""),"PUNO")</f>
        <v>PUNO</v>
      </c>
      <c r="F1760" s="25" t="str">
        <f ca="1">IFERROR(__xludf.DUMMYFUNCTION("""COMPUTED_VALUE"""),"MELGAR")</f>
        <v>MELGAR</v>
      </c>
      <c r="G1760" s="25" t="str">
        <f ca="1">IFERROR(__xludf.DUMMYFUNCTION("""COMPUTED_VALUE"""),"LLALLI")</f>
        <v>LLALLI</v>
      </c>
      <c r="H1760" s="25" t="str">
        <f ca="1">IFERROR(__xludf.DUMMYFUNCTION("""COMPUTED_VALUE"""),"RURAL")</f>
        <v>RURAL</v>
      </c>
      <c r="I1760" s="25" t="str">
        <f ca="1">IFERROR(__xludf.DUMMYFUNCTION("""COMPUTED_VALUE"""),"Prioridad 5")</f>
        <v>Prioridad 5</v>
      </c>
      <c r="J1760" s="43" t="s">
        <v>262</v>
      </c>
    </row>
    <row r="1761" spans="2:10">
      <c r="B1761" s="25" t="str">
        <f ca="1">IFERROR(__xludf.DUMMYFUNCTION("""COMPUTED_VALUE"""),"MUNICIPALIDAD DISTRITAL")</f>
        <v>MUNICIPALIDAD DISTRITAL</v>
      </c>
      <c r="C1761" s="25" t="str">
        <f ca="1">IFERROR(__xludf.DUMMYFUNCTION("""COMPUTED_VALUE"""),"MUNICIPALIDAD DISTRITAL DE MACARI")</f>
        <v>MUNICIPALIDAD DISTRITAL DE MACARI</v>
      </c>
      <c r="D1761" s="25" t="str">
        <f ca="1">IFERROR(__xludf.DUMMYFUNCTION("""COMPUTED_VALUE"""),"PUNO")</f>
        <v>PUNO</v>
      </c>
      <c r="E1761" s="25" t="str">
        <f ca="1">IFERROR(__xludf.DUMMYFUNCTION("""COMPUTED_VALUE"""),"PUNO")</f>
        <v>PUNO</v>
      </c>
      <c r="F1761" s="25" t="str">
        <f ca="1">IFERROR(__xludf.DUMMYFUNCTION("""COMPUTED_VALUE"""),"MELGAR")</f>
        <v>MELGAR</v>
      </c>
      <c r="G1761" s="25" t="str">
        <f ca="1">IFERROR(__xludf.DUMMYFUNCTION("""COMPUTED_VALUE"""),"MACARI")</f>
        <v>MACARI</v>
      </c>
      <c r="H1761" s="25" t="str">
        <f ca="1">IFERROR(__xludf.DUMMYFUNCTION("""COMPUTED_VALUE"""),"RURAL")</f>
        <v>RURAL</v>
      </c>
      <c r="I1761" s="25" t="str">
        <f ca="1">IFERROR(__xludf.DUMMYFUNCTION("""COMPUTED_VALUE"""),"Prioridad 4")</f>
        <v>Prioridad 4</v>
      </c>
      <c r="J1761" s="43" t="s">
        <v>262</v>
      </c>
    </row>
    <row r="1762" spans="2:10">
      <c r="B1762" s="25" t="str">
        <f ca="1">IFERROR(__xludf.DUMMYFUNCTION("""COMPUTED_VALUE"""),"MUNICIPALIDAD DISTRITAL")</f>
        <v>MUNICIPALIDAD DISTRITAL</v>
      </c>
      <c r="C1762" s="25" t="str">
        <f ca="1">IFERROR(__xludf.DUMMYFUNCTION("""COMPUTED_VALUE"""),"MUNICIPALIDAD DISTRITAL DE NUÑOA")</f>
        <v>MUNICIPALIDAD DISTRITAL DE NUÑOA</v>
      </c>
      <c r="D1762" s="25" t="str">
        <f ca="1">IFERROR(__xludf.DUMMYFUNCTION("""COMPUTED_VALUE"""),"PUNO")</f>
        <v>PUNO</v>
      </c>
      <c r="E1762" s="25" t="str">
        <f ca="1">IFERROR(__xludf.DUMMYFUNCTION("""COMPUTED_VALUE"""),"PUNO")</f>
        <v>PUNO</v>
      </c>
      <c r="F1762" s="25" t="str">
        <f ca="1">IFERROR(__xludf.DUMMYFUNCTION("""COMPUTED_VALUE"""),"MELGAR")</f>
        <v>MELGAR</v>
      </c>
      <c r="G1762" s="25" t="str">
        <f ca="1">IFERROR(__xludf.DUMMYFUNCTION("""COMPUTED_VALUE"""),"NUÑOA")</f>
        <v>NUÑOA</v>
      </c>
      <c r="H1762" s="25" t="str">
        <f ca="1">IFERROR(__xludf.DUMMYFUNCTION("""COMPUTED_VALUE"""),"RURAL")</f>
        <v>RURAL</v>
      </c>
      <c r="I1762" s="25" t="str">
        <f ca="1">IFERROR(__xludf.DUMMYFUNCTION("""COMPUTED_VALUE"""),"Prioridad 2")</f>
        <v>Prioridad 2</v>
      </c>
      <c r="J1762" s="42" t="s">
        <v>260</v>
      </c>
    </row>
    <row r="1763" spans="2:10">
      <c r="B1763" s="25" t="str">
        <f ca="1">IFERROR(__xludf.DUMMYFUNCTION("""COMPUTED_VALUE"""),"MUNICIPALIDAD DISTRITAL")</f>
        <v>MUNICIPALIDAD DISTRITAL</v>
      </c>
      <c r="C1763" s="25" t="str">
        <f ca="1">IFERROR(__xludf.DUMMYFUNCTION("""COMPUTED_VALUE"""),"MUNICIPALIDAD DISTRITAL DE ORURILLO")</f>
        <v>MUNICIPALIDAD DISTRITAL DE ORURILLO</v>
      </c>
      <c r="D1763" s="25" t="str">
        <f ca="1">IFERROR(__xludf.DUMMYFUNCTION("""COMPUTED_VALUE"""),"PUNO")</f>
        <v>PUNO</v>
      </c>
      <c r="E1763" s="25" t="str">
        <f ca="1">IFERROR(__xludf.DUMMYFUNCTION("""COMPUTED_VALUE"""),"PUNO")</f>
        <v>PUNO</v>
      </c>
      <c r="F1763" s="25" t="str">
        <f ca="1">IFERROR(__xludf.DUMMYFUNCTION("""COMPUTED_VALUE"""),"MELGAR")</f>
        <v>MELGAR</v>
      </c>
      <c r="G1763" s="25" t="str">
        <f ca="1">IFERROR(__xludf.DUMMYFUNCTION("""COMPUTED_VALUE"""),"ORURILLO")</f>
        <v>ORURILLO</v>
      </c>
      <c r="H1763" s="25" t="str">
        <f ca="1">IFERROR(__xludf.DUMMYFUNCTION("""COMPUTED_VALUE"""),"RURAL")</f>
        <v>RURAL</v>
      </c>
      <c r="I1763" s="25" t="str">
        <f ca="1">IFERROR(__xludf.DUMMYFUNCTION("""COMPUTED_VALUE"""),"Prioridad 5")</f>
        <v>Prioridad 5</v>
      </c>
      <c r="J1763" s="42" t="s">
        <v>260</v>
      </c>
    </row>
    <row r="1764" spans="2:10">
      <c r="B1764" s="25" t="str">
        <f ca="1">IFERROR(__xludf.DUMMYFUNCTION("""COMPUTED_VALUE"""),"MUNICIPALIDAD DISTRITAL")</f>
        <v>MUNICIPALIDAD DISTRITAL</v>
      </c>
      <c r="C1764" s="25" t="str">
        <f ca="1">IFERROR(__xludf.DUMMYFUNCTION("""COMPUTED_VALUE"""),"MUNICIPALIDAD DISTRITAL DE SANTA ROSA EN MELGAR")</f>
        <v>MUNICIPALIDAD DISTRITAL DE SANTA ROSA EN MELGAR</v>
      </c>
      <c r="D1764" s="25" t="str">
        <f ca="1">IFERROR(__xludf.DUMMYFUNCTION("""COMPUTED_VALUE"""),"PUNO")</f>
        <v>PUNO</v>
      </c>
      <c r="E1764" s="25" t="str">
        <f ca="1">IFERROR(__xludf.DUMMYFUNCTION("""COMPUTED_VALUE"""),"PUNO")</f>
        <v>PUNO</v>
      </c>
      <c r="F1764" s="25" t="str">
        <f ca="1">IFERROR(__xludf.DUMMYFUNCTION("""COMPUTED_VALUE"""),"MELGAR")</f>
        <v>MELGAR</v>
      </c>
      <c r="G1764" s="25" t="str">
        <f ca="1">IFERROR(__xludf.DUMMYFUNCTION("""COMPUTED_VALUE"""),"SANTA ROSA")</f>
        <v>SANTA ROSA</v>
      </c>
      <c r="H1764" s="25" t="str">
        <f ca="1">IFERROR(__xludf.DUMMYFUNCTION("""COMPUTED_VALUE"""),"RURAL")</f>
        <v>RURAL</v>
      </c>
      <c r="I1764" s="25" t="str">
        <f ca="1">IFERROR(__xludf.DUMMYFUNCTION("""COMPUTED_VALUE"""),"Prioridad 3")</f>
        <v>Prioridad 3</v>
      </c>
      <c r="J1764" s="42" t="s">
        <v>260</v>
      </c>
    </row>
    <row r="1765" spans="2:10">
      <c r="B1765" s="25" t="str">
        <f ca="1">IFERROR(__xludf.DUMMYFUNCTION("""COMPUTED_VALUE"""),"MUNICIPALIDAD DISTRITAL")</f>
        <v>MUNICIPALIDAD DISTRITAL</v>
      </c>
      <c r="C1765" s="25" t="str">
        <f ca="1">IFERROR(__xludf.DUMMYFUNCTION("""COMPUTED_VALUE"""),"MUNICIPALIDAD DISTRITAL DE UMACHIRI")</f>
        <v>MUNICIPALIDAD DISTRITAL DE UMACHIRI</v>
      </c>
      <c r="D1765" s="25" t="str">
        <f ca="1">IFERROR(__xludf.DUMMYFUNCTION("""COMPUTED_VALUE"""),"PUNO")</f>
        <v>PUNO</v>
      </c>
      <c r="E1765" s="25" t="str">
        <f ca="1">IFERROR(__xludf.DUMMYFUNCTION("""COMPUTED_VALUE"""),"PUNO")</f>
        <v>PUNO</v>
      </c>
      <c r="F1765" s="25" t="str">
        <f ca="1">IFERROR(__xludf.DUMMYFUNCTION("""COMPUTED_VALUE"""),"MELGAR")</f>
        <v>MELGAR</v>
      </c>
      <c r="G1765" s="25" t="str">
        <f ca="1">IFERROR(__xludf.DUMMYFUNCTION("""COMPUTED_VALUE"""),"UMACHIRI")</f>
        <v>UMACHIRI</v>
      </c>
      <c r="H1765" s="25" t="str">
        <f ca="1">IFERROR(__xludf.DUMMYFUNCTION("""COMPUTED_VALUE"""),"RURAL")</f>
        <v>RURAL</v>
      </c>
      <c r="I1765" s="25" t="str">
        <f ca="1">IFERROR(__xludf.DUMMYFUNCTION("""COMPUTED_VALUE"""),"Prioridad 5")</f>
        <v>Prioridad 5</v>
      </c>
      <c r="J1765" s="42" t="s">
        <v>260</v>
      </c>
    </row>
    <row r="1766" spans="2:10">
      <c r="B1766" s="25" t="str">
        <f ca="1">IFERROR(__xludf.DUMMYFUNCTION("""COMPUTED_VALUE"""),"MUNICIPALIDAD DISTRITAL")</f>
        <v>MUNICIPALIDAD DISTRITAL</v>
      </c>
      <c r="C1766" s="25" t="str">
        <f ca="1">IFERROR(__xludf.DUMMYFUNCTION("""COMPUTED_VALUE"""),"MUNICIPALIDAD DISTRITAL DE CONIMA")</f>
        <v>MUNICIPALIDAD DISTRITAL DE CONIMA</v>
      </c>
      <c r="D1766" s="25" t="str">
        <f ca="1">IFERROR(__xludf.DUMMYFUNCTION("""COMPUTED_VALUE"""),"PUNO")</f>
        <v>PUNO</v>
      </c>
      <c r="E1766" s="25" t="str">
        <f ca="1">IFERROR(__xludf.DUMMYFUNCTION("""COMPUTED_VALUE"""),"PUNO")</f>
        <v>PUNO</v>
      </c>
      <c r="F1766" s="25" t="str">
        <f ca="1">IFERROR(__xludf.DUMMYFUNCTION("""COMPUTED_VALUE"""),"MOHO")</f>
        <v>MOHO</v>
      </c>
      <c r="G1766" s="25" t="str">
        <f ca="1">IFERROR(__xludf.DUMMYFUNCTION("""COMPUTED_VALUE"""),"CONIMA")</f>
        <v>CONIMA</v>
      </c>
      <c r="H1766" s="25" t="str">
        <f ca="1">IFERROR(__xludf.DUMMYFUNCTION("""COMPUTED_VALUE"""),"RURAL")</f>
        <v>RURAL</v>
      </c>
      <c r="I1766" s="25" t="str">
        <f ca="1">IFERROR(__xludf.DUMMYFUNCTION("""COMPUTED_VALUE"""),"Prioridad 5")</f>
        <v>Prioridad 5</v>
      </c>
      <c r="J1766" s="42" t="s">
        <v>260</v>
      </c>
    </row>
    <row r="1767" spans="2:10">
      <c r="B1767" s="25" t="str">
        <f ca="1">IFERROR(__xludf.DUMMYFUNCTION("""COMPUTED_VALUE"""),"MUNICIPALIDAD DISTRITAL")</f>
        <v>MUNICIPALIDAD DISTRITAL</v>
      </c>
      <c r="C1767" s="25" t="str">
        <f ca="1">IFERROR(__xludf.DUMMYFUNCTION("""COMPUTED_VALUE"""),"MUNICIPALIDAD DISTRITAL DE HUAYRAPATA")</f>
        <v>MUNICIPALIDAD DISTRITAL DE HUAYRAPATA</v>
      </c>
      <c r="D1767" s="25" t="str">
        <f ca="1">IFERROR(__xludf.DUMMYFUNCTION("""COMPUTED_VALUE"""),"PUNO")</f>
        <v>PUNO</v>
      </c>
      <c r="E1767" s="25" t="str">
        <f ca="1">IFERROR(__xludf.DUMMYFUNCTION("""COMPUTED_VALUE"""),"PUNO")</f>
        <v>PUNO</v>
      </c>
      <c r="F1767" s="25" t="str">
        <f ca="1">IFERROR(__xludf.DUMMYFUNCTION("""COMPUTED_VALUE"""),"MOHO")</f>
        <v>MOHO</v>
      </c>
      <c r="G1767" s="25" t="str">
        <f ca="1">IFERROR(__xludf.DUMMYFUNCTION("""COMPUTED_VALUE"""),"HUAYRAPATA")</f>
        <v>HUAYRAPATA</v>
      </c>
      <c r="H1767" s="25" t="str">
        <f ca="1">IFERROR(__xludf.DUMMYFUNCTION("""COMPUTED_VALUE"""),"RURAL")</f>
        <v>RURAL</v>
      </c>
      <c r="I1767" s="25" t="str">
        <f ca="1">IFERROR(__xludf.DUMMYFUNCTION("""COMPUTED_VALUE"""),"Prioridad 4")</f>
        <v>Prioridad 4</v>
      </c>
      <c r="J1767" s="42" t="s">
        <v>260</v>
      </c>
    </row>
    <row r="1768" spans="2:10">
      <c r="B1768" s="25" t="str">
        <f ca="1">IFERROR(__xludf.DUMMYFUNCTION("""COMPUTED_VALUE"""),"MUNICIPALIDAD PROVINCIAL")</f>
        <v>MUNICIPALIDAD PROVINCIAL</v>
      </c>
      <c r="C1768" s="25" t="str">
        <f ca="1">IFERROR(__xludf.DUMMYFUNCTION("""COMPUTED_VALUE"""),"MUNICIPALIDAD PROVINCIAL DE MOHO")</f>
        <v>MUNICIPALIDAD PROVINCIAL DE MOHO</v>
      </c>
      <c r="D1768" s="25" t="str">
        <f ca="1">IFERROR(__xludf.DUMMYFUNCTION("""COMPUTED_VALUE"""),"PUNO")</f>
        <v>PUNO</v>
      </c>
      <c r="E1768" s="25" t="str">
        <f ca="1">IFERROR(__xludf.DUMMYFUNCTION("""COMPUTED_VALUE"""),"PUNO")</f>
        <v>PUNO</v>
      </c>
      <c r="F1768" s="25" t="str">
        <f ca="1">IFERROR(__xludf.DUMMYFUNCTION("""COMPUTED_VALUE"""),"MOHO")</f>
        <v>MOHO</v>
      </c>
      <c r="G1768" s="25" t="str">
        <f ca="1">IFERROR(__xludf.DUMMYFUNCTION("""COMPUTED_VALUE"""),"MOHO")</f>
        <v>MOHO</v>
      </c>
      <c r="H1768" s="25" t="str">
        <f ca="1">IFERROR(__xludf.DUMMYFUNCTION("""COMPUTED_VALUE"""),"RURAL")</f>
        <v>RURAL</v>
      </c>
      <c r="I1768" s="25" t="str">
        <f ca="1">IFERROR(__xludf.DUMMYFUNCTION("""COMPUTED_VALUE"""),"Prioridad 2")</f>
        <v>Prioridad 2</v>
      </c>
      <c r="J1768" s="42" t="s">
        <v>260</v>
      </c>
    </row>
    <row r="1769" spans="2:10">
      <c r="B1769" s="25" t="str">
        <f ca="1">IFERROR(__xludf.DUMMYFUNCTION("""COMPUTED_VALUE"""),"MUNICIPALIDAD DISTRITAL")</f>
        <v>MUNICIPALIDAD DISTRITAL</v>
      </c>
      <c r="C1769" s="25" t="str">
        <f ca="1">IFERROR(__xludf.DUMMYFUNCTION("""COMPUTED_VALUE"""),"MUNICIPALIDAD DISTRITAL DE TILALI")</f>
        <v>MUNICIPALIDAD DISTRITAL DE TILALI</v>
      </c>
      <c r="D1769" s="25" t="str">
        <f ca="1">IFERROR(__xludf.DUMMYFUNCTION("""COMPUTED_VALUE"""),"PUNO")</f>
        <v>PUNO</v>
      </c>
      <c r="E1769" s="25" t="str">
        <f ca="1">IFERROR(__xludf.DUMMYFUNCTION("""COMPUTED_VALUE"""),"PUNO")</f>
        <v>PUNO</v>
      </c>
      <c r="F1769" s="25" t="str">
        <f ca="1">IFERROR(__xludf.DUMMYFUNCTION("""COMPUTED_VALUE"""),"MOHO")</f>
        <v>MOHO</v>
      </c>
      <c r="G1769" s="25" t="str">
        <f ca="1">IFERROR(__xludf.DUMMYFUNCTION("""COMPUTED_VALUE"""),"TILALI")</f>
        <v>TILALI</v>
      </c>
      <c r="H1769" s="25" t="str">
        <f ca="1">IFERROR(__xludf.DUMMYFUNCTION("""COMPUTED_VALUE"""),"RURAL")</f>
        <v>RURAL</v>
      </c>
      <c r="I1769" s="25" t="str">
        <f ca="1">IFERROR(__xludf.DUMMYFUNCTION("""COMPUTED_VALUE"""),"Prioridad 5")</f>
        <v>Prioridad 5</v>
      </c>
      <c r="J1769" s="42" t="s">
        <v>260</v>
      </c>
    </row>
    <row r="1770" spans="2:10">
      <c r="B1770" s="25" t="str">
        <f ca="1">IFERROR(__xludf.DUMMYFUNCTION("""COMPUTED_VALUE"""),"MUNICIPALIDAD DISTRITAL")</f>
        <v>MUNICIPALIDAD DISTRITAL</v>
      </c>
      <c r="C1770" s="25" t="str">
        <f ca="1">IFERROR(__xludf.DUMMYFUNCTION("""COMPUTED_VALUE"""),"MUNICIPALIDAD DISTRITAL DE ACORA")</f>
        <v>MUNICIPALIDAD DISTRITAL DE ACORA</v>
      </c>
      <c r="D1770" s="25" t="str">
        <f ca="1">IFERROR(__xludf.DUMMYFUNCTION("""COMPUTED_VALUE"""),"PUNO")</f>
        <v>PUNO</v>
      </c>
      <c r="E1770" s="25" t="str">
        <f ca="1">IFERROR(__xludf.DUMMYFUNCTION("""COMPUTED_VALUE"""),"PUNO")</f>
        <v>PUNO</v>
      </c>
      <c r="F1770" s="25" t="str">
        <f ca="1">IFERROR(__xludf.DUMMYFUNCTION("""COMPUTED_VALUE"""),"PUNO")</f>
        <v>PUNO</v>
      </c>
      <c r="G1770" s="25" t="str">
        <f ca="1">IFERROR(__xludf.DUMMYFUNCTION("""COMPUTED_VALUE"""),"ACORA")</f>
        <v>ACORA</v>
      </c>
      <c r="H1770" s="25" t="str">
        <f ca="1">IFERROR(__xludf.DUMMYFUNCTION("""COMPUTED_VALUE"""),"RURAL")</f>
        <v>RURAL</v>
      </c>
      <c r="I1770" s="25" t="str">
        <f ca="1">IFERROR(__xludf.DUMMYFUNCTION("""COMPUTED_VALUE"""),"Prioridad 4")</f>
        <v>Prioridad 4</v>
      </c>
      <c r="J1770" s="42" t="s">
        <v>260</v>
      </c>
    </row>
    <row r="1771" spans="2:10">
      <c r="B1771" s="25" t="str">
        <f ca="1">IFERROR(__xludf.DUMMYFUNCTION("""COMPUTED_VALUE"""),"MUNICIPALIDAD DISTRITAL")</f>
        <v>MUNICIPALIDAD DISTRITAL</v>
      </c>
      <c r="C1771" s="25" t="str">
        <f ca="1">IFERROR(__xludf.DUMMYFUNCTION("""COMPUTED_VALUE"""),"MUNICIPALIDAD DISTRITAL DE AMANTANI")</f>
        <v>MUNICIPALIDAD DISTRITAL DE AMANTANI</v>
      </c>
      <c r="D1771" s="25" t="str">
        <f ca="1">IFERROR(__xludf.DUMMYFUNCTION("""COMPUTED_VALUE"""),"PUNO")</f>
        <v>PUNO</v>
      </c>
      <c r="E1771" s="25" t="str">
        <f ca="1">IFERROR(__xludf.DUMMYFUNCTION("""COMPUTED_VALUE"""),"PUNO")</f>
        <v>PUNO</v>
      </c>
      <c r="F1771" s="25" t="str">
        <f ca="1">IFERROR(__xludf.DUMMYFUNCTION("""COMPUTED_VALUE"""),"PUNO")</f>
        <v>PUNO</v>
      </c>
      <c r="G1771" s="25" t="str">
        <f ca="1">IFERROR(__xludf.DUMMYFUNCTION("""COMPUTED_VALUE"""),"AMANTANI")</f>
        <v>AMANTANI</v>
      </c>
      <c r="H1771" s="25" t="str">
        <f ca="1">IFERROR(__xludf.DUMMYFUNCTION("""COMPUTED_VALUE"""),"RURAL")</f>
        <v>RURAL</v>
      </c>
      <c r="I1771" s="25" t="str">
        <f ca="1">IFERROR(__xludf.DUMMYFUNCTION("""COMPUTED_VALUE"""),"Prioridad 3")</f>
        <v>Prioridad 3</v>
      </c>
      <c r="J1771" s="42" t="s">
        <v>260</v>
      </c>
    </row>
    <row r="1772" spans="2:10">
      <c r="B1772" s="25" t="str">
        <f ca="1">IFERROR(__xludf.DUMMYFUNCTION("""COMPUTED_VALUE"""),"MUNICIPALIDAD DISTRITAL")</f>
        <v>MUNICIPALIDAD DISTRITAL</v>
      </c>
      <c r="C1772" s="25" t="str">
        <f ca="1">IFERROR(__xludf.DUMMYFUNCTION("""COMPUTED_VALUE"""),"MUNICIPALIDAD DISTRITAL DE ATUNCOLLA")</f>
        <v>MUNICIPALIDAD DISTRITAL DE ATUNCOLLA</v>
      </c>
      <c r="D1772" s="25" t="str">
        <f ca="1">IFERROR(__xludf.DUMMYFUNCTION("""COMPUTED_VALUE"""),"PUNO")</f>
        <v>PUNO</v>
      </c>
      <c r="E1772" s="25" t="str">
        <f ca="1">IFERROR(__xludf.DUMMYFUNCTION("""COMPUTED_VALUE"""),"PUNO")</f>
        <v>PUNO</v>
      </c>
      <c r="F1772" s="25" t="str">
        <f ca="1">IFERROR(__xludf.DUMMYFUNCTION("""COMPUTED_VALUE"""),"PUNO")</f>
        <v>PUNO</v>
      </c>
      <c r="G1772" s="25" t="str">
        <f ca="1">IFERROR(__xludf.DUMMYFUNCTION("""COMPUTED_VALUE"""),"ATUNCOLLA")</f>
        <v>ATUNCOLLA</v>
      </c>
      <c r="H1772" s="25" t="str">
        <f ca="1">IFERROR(__xludf.DUMMYFUNCTION("""COMPUTED_VALUE"""),"RURAL")</f>
        <v>RURAL</v>
      </c>
      <c r="I1772" s="25" t="str">
        <f ca="1">IFERROR(__xludf.DUMMYFUNCTION("""COMPUTED_VALUE"""),"Prioridad 4")</f>
        <v>Prioridad 4</v>
      </c>
      <c r="J1772" s="42" t="s">
        <v>260</v>
      </c>
    </row>
    <row r="1773" spans="2:10">
      <c r="B1773" s="25" t="str">
        <f ca="1">IFERROR(__xludf.DUMMYFUNCTION("""COMPUTED_VALUE"""),"MUNICIPALIDAD DISTRITAL")</f>
        <v>MUNICIPALIDAD DISTRITAL</v>
      </c>
      <c r="C1773" s="25" t="str">
        <f ca="1">IFERROR(__xludf.DUMMYFUNCTION("""COMPUTED_VALUE"""),"MUNICIPALIDAD DISTRITAL DE CAPACHICA")</f>
        <v>MUNICIPALIDAD DISTRITAL DE CAPACHICA</v>
      </c>
      <c r="D1773" s="25" t="str">
        <f ca="1">IFERROR(__xludf.DUMMYFUNCTION("""COMPUTED_VALUE"""),"PUNO")</f>
        <v>PUNO</v>
      </c>
      <c r="E1773" s="25" t="str">
        <f ca="1">IFERROR(__xludf.DUMMYFUNCTION("""COMPUTED_VALUE"""),"PUNO")</f>
        <v>PUNO</v>
      </c>
      <c r="F1773" s="25" t="str">
        <f ca="1">IFERROR(__xludf.DUMMYFUNCTION("""COMPUTED_VALUE"""),"PUNO")</f>
        <v>PUNO</v>
      </c>
      <c r="G1773" s="25" t="str">
        <f ca="1">IFERROR(__xludf.DUMMYFUNCTION("""COMPUTED_VALUE"""),"CAPACHICA")</f>
        <v>CAPACHICA</v>
      </c>
      <c r="H1773" s="25" t="str">
        <f ca="1">IFERROR(__xludf.DUMMYFUNCTION("""COMPUTED_VALUE"""),"RURAL")</f>
        <v>RURAL</v>
      </c>
      <c r="I1773" s="25" t="str">
        <f ca="1">IFERROR(__xludf.DUMMYFUNCTION("""COMPUTED_VALUE"""),"Prioridad 5")</f>
        <v>Prioridad 5</v>
      </c>
      <c r="J1773" s="42" t="s">
        <v>260</v>
      </c>
    </row>
    <row r="1774" spans="2:10">
      <c r="B1774" s="25" t="str">
        <f ca="1">IFERROR(__xludf.DUMMYFUNCTION("""COMPUTED_VALUE"""),"MUNICIPALIDAD DISTRITAL")</f>
        <v>MUNICIPALIDAD DISTRITAL</v>
      </c>
      <c r="C1774" s="25" t="str">
        <f ca="1">IFERROR(__xludf.DUMMYFUNCTION("""COMPUTED_VALUE"""),"MUNICIPALIDAD DISTRITAL DE CHUCUITO")</f>
        <v>MUNICIPALIDAD DISTRITAL DE CHUCUITO</v>
      </c>
      <c r="D1774" s="25" t="str">
        <f ca="1">IFERROR(__xludf.DUMMYFUNCTION("""COMPUTED_VALUE"""),"PUNO")</f>
        <v>PUNO</v>
      </c>
      <c r="E1774" s="25" t="str">
        <f ca="1">IFERROR(__xludf.DUMMYFUNCTION("""COMPUTED_VALUE"""),"PUNO")</f>
        <v>PUNO</v>
      </c>
      <c r="F1774" s="25" t="str">
        <f ca="1">IFERROR(__xludf.DUMMYFUNCTION("""COMPUTED_VALUE"""),"PUNO")</f>
        <v>PUNO</v>
      </c>
      <c r="G1774" s="25" t="str">
        <f ca="1">IFERROR(__xludf.DUMMYFUNCTION("""COMPUTED_VALUE"""),"CHUCUITO")</f>
        <v>CHUCUITO</v>
      </c>
      <c r="H1774" s="25" t="str">
        <f ca="1">IFERROR(__xludf.DUMMYFUNCTION("""COMPUTED_VALUE"""),"RURAL")</f>
        <v>RURAL</v>
      </c>
      <c r="I1774" s="25" t="str">
        <f ca="1">IFERROR(__xludf.DUMMYFUNCTION("""COMPUTED_VALUE"""),"Prioridad 3")</f>
        <v>Prioridad 3</v>
      </c>
      <c r="J1774" s="42" t="s">
        <v>260</v>
      </c>
    </row>
    <row r="1775" spans="2:10">
      <c r="B1775" s="25" t="str">
        <f ca="1">IFERROR(__xludf.DUMMYFUNCTION("""COMPUTED_VALUE"""),"MUNICIPALIDAD DISTRITAL")</f>
        <v>MUNICIPALIDAD DISTRITAL</v>
      </c>
      <c r="C1775" s="25" t="str">
        <f ca="1">IFERROR(__xludf.DUMMYFUNCTION("""COMPUTED_VALUE"""),"MUNICIPALIDAD DISTRITAL DE COATA")</f>
        <v>MUNICIPALIDAD DISTRITAL DE COATA</v>
      </c>
      <c r="D1775" s="25" t="str">
        <f ca="1">IFERROR(__xludf.DUMMYFUNCTION("""COMPUTED_VALUE"""),"PUNO")</f>
        <v>PUNO</v>
      </c>
      <c r="E1775" s="25" t="str">
        <f ca="1">IFERROR(__xludf.DUMMYFUNCTION("""COMPUTED_VALUE"""),"PUNO")</f>
        <v>PUNO</v>
      </c>
      <c r="F1775" s="25" t="str">
        <f ca="1">IFERROR(__xludf.DUMMYFUNCTION("""COMPUTED_VALUE"""),"PUNO")</f>
        <v>PUNO</v>
      </c>
      <c r="G1775" s="25" t="str">
        <f ca="1">IFERROR(__xludf.DUMMYFUNCTION("""COMPUTED_VALUE"""),"COATA")</f>
        <v>COATA</v>
      </c>
      <c r="H1775" s="25" t="str">
        <f ca="1">IFERROR(__xludf.DUMMYFUNCTION("""COMPUTED_VALUE"""),"RURAL")</f>
        <v>RURAL</v>
      </c>
      <c r="I1775" s="25" t="str">
        <f ca="1">IFERROR(__xludf.DUMMYFUNCTION("""COMPUTED_VALUE"""),"Prioridad 5")</f>
        <v>Prioridad 5</v>
      </c>
      <c r="J1775" s="42" t="s">
        <v>260</v>
      </c>
    </row>
    <row r="1776" spans="2:10">
      <c r="B1776" s="25" t="str">
        <f ca="1">IFERROR(__xludf.DUMMYFUNCTION("""COMPUTED_VALUE"""),"MUNICIPALIDAD DISTRITAL")</f>
        <v>MUNICIPALIDAD DISTRITAL</v>
      </c>
      <c r="C1776" s="25" t="str">
        <f ca="1">IFERROR(__xludf.DUMMYFUNCTION("""COMPUTED_VALUE"""),"MUNICIPALIDAD DISTRITAL DE HUATA EN PUNO")</f>
        <v>MUNICIPALIDAD DISTRITAL DE HUATA EN PUNO</v>
      </c>
      <c r="D1776" s="25" t="str">
        <f ca="1">IFERROR(__xludf.DUMMYFUNCTION("""COMPUTED_VALUE"""),"PUNO")</f>
        <v>PUNO</v>
      </c>
      <c r="E1776" s="25" t="str">
        <f ca="1">IFERROR(__xludf.DUMMYFUNCTION("""COMPUTED_VALUE"""),"PUNO")</f>
        <v>PUNO</v>
      </c>
      <c r="F1776" s="25" t="str">
        <f ca="1">IFERROR(__xludf.DUMMYFUNCTION("""COMPUTED_VALUE"""),"PUNO")</f>
        <v>PUNO</v>
      </c>
      <c r="G1776" s="25" t="str">
        <f ca="1">IFERROR(__xludf.DUMMYFUNCTION("""COMPUTED_VALUE"""),"HUATA")</f>
        <v>HUATA</v>
      </c>
      <c r="H1776" s="25" t="str">
        <f ca="1">IFERROR(__xludf.DUMMYFUNCTION("""COMPUTED_VALUE"""),"RURAL")</f>
        <v>RURAL</v>
      </c>
      <c r="I1776" s="25" t="str">
        <f ca="1">IFERROR(__xludf.DUMMYFUNCTION("""COMPUTED_VALUE"""),"Prioridad 5")</f>
        <v>Prioridad 5</v>
      </c>
      <c r="J1776" s="42" t="s">
        <v>260</v>
      </c>
    </row>
    <row r="1777" spans="2:10">
      <c r="B1777" s="25" t="str">
        <f ca="1">IFERROR(__xludf.DUMMYFUNCTION("""COMPUTED_VALUE"""),"MUNICIPALIDAD DISTRITAL")</f>
        <v>MUNICIPALIDAD DISTRITAL</v>
      </c>
      <c r="C1777" s="25" t="str">
        <f ca="1">IFERROR(__xludf.DUMMYFUNCTION("""COMPUTED_VALUE"""),"MUNICIPALIDAD DISTRITAL DE MAÑAZO")</f>
        <v>MUNICIPALIDAD DISTRITAL DE MAÑAZO</v>
      </c>
      <c r="D1777" s="25" t="str">
        <f ca="1">IFERROR(__xludf.DUMMYFUNCTION("""COMPUTED_VALUE"""),"PUNO")</f>
        <v>PUNO</v>
      </c>
      <c r="E1777" s="25" t="str">
        <f ca="1">IFERROR(__xludf.DUMMYFUNCTION("""COMPUTED_VALUE"""),"PUNO")</f>
        <v>PUNO</v>
      </c>
      <c r="F1777" s="25" t="str">
        <f ca="1">IFERROR(__xludf.DUMMYFUNCTION("""COMPUTED_VALUE"""),"PUNO")</f>
        <v>PUNO</v>
      </c>
      <c r="G1777" s="25" t="str">
        <f ca="1">IFERROR(__xludf.DUMMYFUNCTION("""COMPUTED_VALUE"""),"MAÑAZO")</f>
        <v>MAÑAZO</v>
      </c>
      <c r="H1777" s="25" t="str">
        <f ca="1">IFERROR(__xludf.DUMMYFUNCTION("""COMPUTED_VALUE"""),"RURAL")</f>
        <v>RURAL</v>
      </c>
      <c r="I1777" s="25" t="str">
        <f ca="1">IFERROR(__xludf.DUMMYFUNCTION("""COMPUTED_VALUE"""),"Prioridad 3")</f>
        <v>Prioridad 3</v>
      </c>
      <c r="J1777" s="42" t="s">
        <v>260</v>
      </c>
    </row>
    <row r="1778" spans="2:10">
      <c r="B1778" s="25" t="str">
        <f ca="1">IFERROR(__xludf.DUMMYFUNCTION("""COMPUTED_VALUE"""),"MUNICIPALIDAD DISTRITAL")</f>
        <v>MUNICIPALIDAD DISTRITAL</v>
      </c>
      <c r="C1778" s="25" t="str">
        <f ca="1">IFERROR(__xludf.DUMMYFUNCTION("""COMPUTED_VALUE"""),"MUNICIPALIDAD DISTRITAL DE PAUCARCOLLA")</f>
        <v>MUNICIPALIDAD DISTRITAL DE PAUCARCOLLA</v>
      </c>
      <c r="D1778" s="25" t="str">
        <f ca="1">IFERROR(__xludf.DUMMYFUNCTION("""COMPUTED_VALUE"""),"PUNO")</f>
        <v>PUNO</v>
      </c>
      <c r="E1778" s="25" t="str">
        <f ca="1">IFERROR(__xludf.DUMMYFUNCTION("""COMPUTED_VALUE"""),"PUNO")</f>
        <v>PUNO</v>
      </c>
      <c r="F1778" s="25" t="str">
        <f ca="1">IFERROR(__xludf.DUMMYFUNCTION("""COMPUTED_VALUE"""),"PUNO")</f>
        <v>PUNO</v>
      </c>
      <c r="G1778" s="25" t="str">
        <f ca="1">IFERROR(__xludf.DUMMYFUNCTION("""COMPUTED_VALUE"""),"PAUCARCOLLA")</f>
        <v>PAUCARCOLLA</v>
      </c>
      <c r="H1778" s="25" t="str">
        <f ca="1">IFERROR(__xludf.DUMMYFUNCTION("""COMPUTED_VALUE"""),"RURAL")</f>
        <v>RURAL</v>
      </c>
      <c r="I1778" s="25" t="str">
        <f ca="1">IFERROR(__xludf.DUMMYFUNCTION("""COMPUTED_VALUE"""),"Prioridad 4")</f>
        <v>Prioridad 4</v>
      </c>
      <c r="J1778" s="42" t="s">
        <v>260</v>
      </c>
    </row>
    <row r="1779" spans="2:10">
      <c r="B1779" s="25" t="str">
        <f ca="1">IFERROR(__xludf.DUMMYFUNCTION("""COMPUTED_VALUE"""),"MUNICIPALIDAD DISTRITAL")</f>
        <v>MUNICIPALIDAD DISTRITAL</v>
      </c>
      <c r="C1779" s="25" t="str">
        <f ca="1">IFERROR(__xludf.DUMMYFUNCTION("""COMPUTED_VALUE"""),"MUNICIPALIDAD DISTRITAL DE PICHACANI")</f>
        <v>MUNICIPALIDAD DISTRITAL DE PICHACANI</v>
      </c>
      <c r="D1779" s="25" t="str">
        <f ca="1">IFERROR(__xludf.DUMMYFUNCTION("""COMPUTED_VALUE"""),"PUNO")</f>
        <v>PUNO</v>
      </c>
      <c r="E1779" s="25" t="str">
        <f ca="1">IFERROR(__xludf.DUMMYFUNCTION("""COMPUTED_VALUE"""),"PUNO")</f>
        <v>PUNO</v>
      </c>
      <c r="F1779" s="25" t="str">
        <f ca="1">IFERROR(__xludf.DUMMYFUNCTION("""COMPUTED_VALUE"""),"PUNO")</f>
        <v>PUNO</v>
      </c>
      <c r="G1779" s="25" t="str">
        <f ca="1">IFERROR(__xludf.DUMMYFUNCTION("""COMPUTED_VALUE"""),"PICHACANI")</f>
        <v>PICHACANI</v>
      </c>
      <c r="H1779" s="25" t="str">
        <f ca="1">IFERROR(__xludf.DUMMYFUNCTION("""COMPUTED_VALUE"""),"RURAL")</f>
        <v>RURAL</v>
      </c>
      <c r="I1779" s="25" t="str">
        <f ca="1">IFERROR(__xludf.DUMMYFUNCTION("""COMPUTED_VALUE"""),"Prioridad 3")</f>
        <v>Prioridad 3</v>
      </c>
      <c r="J1779" s="42" t="s">
        <v>260</v>
      </c>
    </row>
    <row r="1780" spans="2:10">
      <c r="B1780" s="25" t="str">
        <f ca="1">IFERROR(__xludf.DUMMYFUNCTION("""COMPUTED_VALUE"""),"MUNICIPALIDAD DISTRITAL")</f>
        <v>MUNICIPALIDAD DISTRITAL</v>
      </c>
      <c r="C1780" s="25" t="str">
        <f ca="1">IFERROR(__xludf.DUMMYFUNCTION("""COMPUTED_VALUE"""),"MUNICIPALIDAD DISTRITAL DE PLATERIA")</f>
        <v>MUNICIPALIDAD DISTRITAL DE PLATERIA</v>
      </c>
      <c r="D1780" s="25" t="str">
        <f ca="1">IFERROR(__xludf.DUMMYFUNCTION("""COMPUTED_VALUE"""),"PUNO")</f>
        <v>PUNO</v>
      </c>
      <c r="E1780" s="25" t="str">
        <f ca="1">IFERROR(__xludf.DUMMYFUNCTION("""COMPUTED_VALUE"""),"PUNO")</f>
        <v>PUNO</v>
      </c>
      <c r="F1780" s="25" t="str">
        <f ca="1">IFERROR(__xludf.DUMMYFUNCTION("""COMPUTED_VALUE"""),"PUNO")</f>
        <v>PUNO</v>
      </c>
      <c r="G1780" s="25" t="str">
        <f ca="1">IFERROR(__xludf.DUMMYFUNCTION("""COMPUTED_VALUE"""),"PLATERIA")</f>
        <v>PLATERIA</v>
      </c>
      <c r="H1780" s="25" t="str">
        <f ca="1">IFERROR(__xludf.DUMMYFUNCTION("""COMPUTED_VALUE"""),"RURAL")</f>
        <v>RURAL</v>
      </c>
      <c r="I1780" s="25" t="str">
        <f ca="1">IFERROR(__xludf.DUMMYFUNCTION("""COMPUTED_VALUE"""),"Prioridad 4")</f>
        <v>Prioridad 4</v>
      </c>
      <c r="J1780" s="42" t="s">
        <v>260</v>
      </c>
    </row>
    <row r="1781" spans="2:10">
      <c r="B1781" s="25" t="str">
        <f ca="1">IFERROR(__xludf.DUMMYFUNCTION("""COMPUTED_VALUE"""),"MUNICIPALIDAD PROVINCIAL")</f>
        <v>MUNICIPALIDAD PROVINCIAL</v>
      </c>
      <c r="C1781" s="25" t="str">
        <f ca="1">IFERROR(__xludf.DUMMYFUNCTION("""COMPUTED_VALUE"""),"MUNICIPALIDAD PROVINCIAL DE PUNO")</f>
        <v>MUNICIPALIDAD PROVINCIAL DE PUNO</v>
      </c>
      <c r="D1781" s="25" t="str">
        <f ca="1">IFERROR(__xludf.DUMMYFUNCTION("""COMPUTED_VALUE"""),"PUNO")</f>
        <v>PUNO</v>
      </c>
      <c r="E1781" s="25" t="str">
        <f ca="1">IFERROR(__xludf.DUMMYFUNCTION("""COMPUTED_VALUE"""),"PUNO")</f>
        <v>PUNO</v>
      </c>
      <c r="F1781" s="25" t="str">
        <f ca="1">IFERROR(__xludf.DUMMYFUNCTION("""COMPUTED_VALUE"""),"PUNO")</f>
        <v>PUNO</v>
      </c>
      <c r="G1781" s="25" t="str">
        <f ca="1">IFERROR(__xludf.DUMMYFUNCTION("""COMPUTED_VALUE"""),"PUNO")</f>
        <v>PUNO</v>
      </c>
      <c r="H1781" s="25" t="str">
        <f ca="1">IFERROR(__xludf.DUMMYFUNCTION("""COMPUTED_VALUE"""),"URBANO")</f>
        <v>URBANO</v>
      </c>
      <c r="I1781" s="25" t="str">
        <f ca="1">IFERROR(__xludf.DUMMYFUNCTION("""COMPUTED_VALUE"""),"Prioridad 1")</f>
        <v>Prioridad 1</v>
      </c>
      <c r="J1781" s="42" t="s">
        <v>260</v>
      </c>
    </row>
    <row r="1782" spans="2:10">
      <c r="B1782" s="25" t="str">
        <f ca="1">IFERROR(__xludf.DUMMYFUNCTION("""COMPUTED_VALUE"""),"MUNICIPALIDAD DISTRITAL")</f>
        <v>MUNICIPALIDAD DISTRITAL</v>
      </c>
      <c r="C1782" s="25" t="str">
        <f ca="1">IFERROR(__xludf.DUMMYFUNCTION("""COMPUTED_VALUE"""),"MUNICIPALIDAD DISTRITAL DE SAN ANTONIO EN PUNO")</f>
        <v>MUNICIPALIDAD DISTRITAL DE SAN ANTONIO EN PUNO</v>
      </c>
      <c r="D1782" s="25" t="str">
        <f ca="1">IFERROR(__xludf.DUMMYFUNCTION("""COMPUTED_VALUE"""),"PUNO")</f>
        <v>PUNO</v>
      </c>
      <c r="E1782" s="25" t="str">
        <f ca="1">IFERROR(__xludf.DUMMYFUNCTION("""COMPUTED_VALUE"""),"PUNO")</f>
        <v>PUNO</v>
      </c>
      <c r="F1782" s="25" t="str">
        <f ca="1">IFERROR(__xludf.DUMMYFUNCTION("""COMPUTED_VALUE"""),"PUNO")</f>
        <v>PUNO</v>
      </c>
      <c r="G1782" s="25" t="str">
        <f ca="1">IFERROR(__xludf.DUMMYFUNCTION("""COMPUTED_VALUE"""),"SAN ANTONIO")</f>
        <v>SAN ANTONIO</v>
      </c>
      <c r="H1782" s="25" t="str">
        <f ca="1">IFERROR(__xludf.DUMMYFUNCTION("""COMPUTED_VALUE"""),"RURAL")</f>
        <v>RURAL</v>
      </c>
      <c r="I1782" s="25" t="str">
        <f ca="1">IFERROR(__xludf.DUMMYFUNCTION("""COMPUTED_VALUE"""),"Prioridad 5")</f>
        <v>Prioridad 5</v>
      </c>
      <c r="J1782" s="42" t="s">
        <v>260</v>
      </c>
    </row>
    <row r="1783" spans="2:10">
      <c r="B1783" s="25" t="str">
        <f ca="1">IFERROR(__xludf.DUMMYFUNCTION("""COMPUTED_VALUE"""),"MUNICIPALIDAD DISTRITAL")</f>
        <v>MUNICIPALIDAD DISTRITAL</v>
      </c>
      <c r="C1783" s="25" t="str">
        <f ca="1">IFERROR(__xludf.DUMMYFUNCTION("""COMPUTED_VALUE"""),"MUNICIPALIDAD DISTRITAL DE TIQUILLACA")</f>
        <v>MUNICIPALIDAD DISTRITAL DE TIQUILLACA</v>
      </c>
      <c r="D1783" s="25" t="str">
        <f ca="1">IFERROR(__xludf.DUMMYFUNCTION("""COMPUTED_VALUE"""),"PUNO")</f>
        <v>PUNO</v>
      </c>
      <c r="E1783" s="25" t="str">
        <f ca="1">IFERROR(__xludf.DUMMYFUNCTION("""COMPUTED_VALUE"""),"PUNO")</f>
        <v>PUNO</v>
      </c>
      <c r="F1783" s="25" t="str">
        <f ca="1">IFERROR(__xludf.DUMMYFUNCTION("""COMPUTED_VALUE"""),"PUNO")</f>
        <v>PUNO</v>
      </c>
      <c r="G1783" s="25" t="str">
        <f ca="1">IFERROR(__xludf.DUMMYFUNCTION("""COMPUTED_VALUE"""),"TIQUILLACA")</f>
        <v>TIQUILLACA</v>
      </c>
      <c r="H1783" s="25" t="str">
        <f ca="1">IFERROR(__xludf.DUMMYFUNCTION("""COMPUTED_VALUE"""),"RURAL")</f>
        <v>RURAL</v>
      </c>
      <c r="I1783" s="25" t="str">
        <f ca="1">IFERROR(__xludf.DUMMYFUNCTION("""COMPUTED_VALUE"""),"Prioridad 5")</f>
        <v>Prioridad 5</v>
      </c>
      <c r="J1783" s="42" t="s">
        <v>260</v>
      </c>
    </row>
    <row r="1784" spans="2:10">
      <c r="B1784" s="25" t="str">
        <f ca="1">IFERROR(__xludf.DUMMYFUNCTION("""COMPUTED_VALUE"""),"MUNICIPALIDAD DISTRITAL")</f>
        <v>MUNICIPALIDAD DISTRITAL</v>
      </c>
      <c r="C1784" s="25" t="str">
        <f ca="1">IFERROR(__xludf.DUMMYFUNCTION("""COMPUTED_VALUE"""),"MUNICIPALIDAD DISTRITAL DE VILQUE")</f>
        <v>MUNICIPALIDAD DISTRITAL DE VILQUE</v>
      </c>
      <c r="D1784" s="25" t="str">
        <f ca="1">IFERROR(__xludf.DUMMYFUNCTION("""COMPUTED_VALUE"""),"PUNO")</f>
        <v>PUNO</v>
      </c>
      <c r="E1784" s="25" t="str">
        <f ca="1">IFERROR(__xludf.DUMMYFUNCTION("""COMPUTED_VALUE"""),"PUNO")</f>
        <v>PUNO</v>
      </c>
      <c r="F1784" s="25" t="str">
        <f ca="1">IFERROR(__xludf.DUMMYFUNCTION("""COMPUTED_VALUE"""),"PUNO")</f>
        <v>PUNO</v>
      </c>
      <c r="G1784" s="25" t="str">
        <f ca="1">IFERROR(__xludf.DUMMYFUNCTION("""COMPUTED_VALUE"""),"VILQUE")</f>
        <v>VILQUE</v>
      </c>
      <c r="H1784" s="25" t="str">
        <f ca="1">IFERROR(__xludf.DUMMYFUNCTION("""COMPUTED_VALUE"""),"RURAL")</f>
        <v>RURAL</v>
      </c>
      <c r="I1784" s="25" t="str">
        <f ca="1">IFERROR(__xludf.DUMMYFUNCTION("""COMPUTED_VALUE"""),"Prioridad 3")</f>
        <v>Prioridad 3</v>
      </c>
      <c r="J1784" s="42" t="s">
        <v>260</v>
      </c>
    </row>
    <row r="1785" spans="2:10">
      <c r="B1785" s="25" t="str">
        <f ca="1">IFERROR(__xludf.DUMMYFUNCTION("""COMPUTED_VALUE"""),"GOBIERNO REGIONAL")</f>
        <v>GOBIERNO REGIONAL</v>
      </c>
      <c r="C1785" s="25" t="str">
        <f ca="1">IFERROR(__xludf.DUMMYFUNCTION("""COMPUTED_VALUE"""),"GOBIERNO REGIONAL DE PUNO")</f>
        <v>GOBIERNO REGIONAL DE PUNO</v>
      </c>
      <c r="D1785" s="25" t="str">
        <f ca="1">IFERROR(__xludf.DUMMYFUNCTION("""COMPUTED_VALUE"""),"PUNO")</f>
        <v>PUNO</v>
      </c>
      <c r="E1785" s="25" t="str">
        <f ca="1">IFERROR(__xludf.DUMMYFUNCTION("""COMPUTED_VALUE"""),"PUNO")</f>
        <v>PUNO</v>
      </c>
      <c r="F1785" s="25" t="str">
        <f ca="1">IFERROR(__xludf.DUMMYFUNCTION("""COMPUTED_VALUE"""),"PUNO")</f>
        <v>PUNO</v>
      </c>
      <c r="G1785" s="25" t="str">
        <f ca="1">IFERROR(__xludf.DUMMYFUNCTION("""COMPUTED_VALUE"""),"PUNO ")</f>
        <v xml:space="preserve">PUNO </v>
      </c>
      <c r="H1785" s="25"/>
      <c r="I1785" s="25" t="str">
        <f ca="1">IFERROR(__xludf.DUMMYFUNCTION("""COMPUTED_VALUE"""),"Prioridad 1")</f>
        <v>Prioridad 1</v>
      </c>
      <c r="J1785" s="42" t="s">
        <v>260</v>
      </c>
    </row>
    <row r="1786" spans="2:10">
      <c r="B1786" s="25" t="str">
        <f ca="1">IFERROR(__xludf.DUMMYFUNCTION("""COMPUTED_VALUE"""),"MUNICIPALIDAD DISTRITAL")</f>
        <v>MUNICIPALIDAD DISTRITAL</v>
      </c>
      <c r="C1786" s="25" t="str">
        <f ca="1">IFERROR(__xludf.DUMMYFUNCTION("""COMPUTED_VALUE"""),"MUNICIPALIDAD DISTRITAL DE ANANEA")</f>
        <v>MUNICIPALIDAD DISTRITAL DE ANANEA</v>
      </c>
      <c r="D1786" s="25" t="str">
        <f ca="1">IFERROR(__xludf.DUMMYFUNCTION("""COMPUTED_VALUE"""),"PUNO")</f>
        <v>PUNO</v>
      </c>
      <c r="E1786" s="25" t="str">
        <f ca="1">IFERROR(__xludf.DUMMYFUNCTION("""COMPUTED_VALUE"""),"PUNO")</f>
        <v>PUNO</v>
      </c>
      <c r="F1786" s="25" t="str">
        <f ca="1">IFERROR(__xludf.DUMMYFUNCTION("""COMPUTED_VALUE"""),"SAN ANTONIO DE PUTINA")</f>
        <v>SAN ANTONIO DE PUTINA</v>
      </c>
      <c r="G1786" s="25" t="str">
        <f ca="1">IFERROR(__xludf.DUMMYFUNCTION("""COMPUTED_VALUE"""),"ANANEA")</f>
        <v>ANANEA</v>
      </c>
      <c r="H1786" s="25" t="str">
        <f ca="1">IFERROR(__xludf.DUMMYFUNCTION("""COMPUTED_VALUE"""),"URBANO")</f>
        <v>URBANO</v>
      </c>
      <c r="I1786" s="25" t="str">
        <f ca="1">IFERROR(__xludf.DUMMYFUNCTION("""COMPUTED_VALUE"""),"Prioridad 2")</f>
        <v>Prioridad 2</v>
      </c>
      <c r="J1786" s="42" t="s">
        <v>260</v>
      </c>
    </row>
    <row r="1787" spans="2:10">
      <c r="B1787" s="25" t="str">
        <f ca="1">IFERROR(__xludf.DUMMYFUNCTION("""COMPUTED_VALUE"""),"MUNICIPALIDAD DISTRITAL")</f>
        <v>MUNICIPALIDAD DISTRITAL</v>
      </c>
      <c r="C1787" s="25" t="str">
        <f ca="1">IFERROR(__xludf.DUMMYFUNCTION("""COMPUTED_VALUE"""),"MUNICIPALIDAD DISTRITAL DE PEDRO VILCA APAZA")</f>
        <v>MUNICIPALIDAD DISTRITAL DE PEDRO VILCA APAZA</v>
      </c>
      <c r="D1787" s="25" t="str">
        <f ca="1">IFERROR(__xludf.DUMMYFUNCTION("""COMPUTED_VALUE"""),"PUNO")</f>
        <v>PUNO</v>
      </c>
      <c r="E1787" s="25" t="str">
        <f ca="1">IFERROR(__xludf.DUMMYFUNCTION("""COMPUTED_VALUE"""),"PUNO")</f>
        <v>PUNO</v>
      </c>
      <c r="F1787" s="25" t="str">
        <f ca="1">IFERROR(__xludf.DUMMYFUNCTION("""COMPUTED_VALUE"""),"SAN ANTONIO DE PUTINA")</f>
        <v>SAN ANTONIO DE PUTINA</v>
      </c>
      <c r="G1787" s="25" t="str">
        <f ca="1">IFERROR(__xludf.DUMMYFUNCTION("""COMPUTED_VALUE"""),"PEDRO VILCA APAZA")</f>
        <v>PEDRO VILCA APAZA</v>
      </c>
      <c r="H1787" s="25" t="str">
        <f ca="1">IFERROR(__xludf.DUMMYFUNCTION("""COMPUTED_VALUE"""),"RURAL")</f>
        <v>RURAL</v>
      </c>
      <c r="I1787" s="25" t="str">
        <f ca="1">IFERROR(__xludf.DUMMYFUNCTION("""COMPUTED_VALUE"""),"Prioridad 5")</f>
        <v>Prioridad 5</v>
      </c>
      <c r="J1787" s="42" t="s">
        <v>260</v>
      </c>
    </row>
    <row r="1788" spans="2:10">
      <c r="B1788" s="25" t="str">
        <f ca="1">IFERROR(__xludf.DUMMYFUNCTION("""COMPUTED_VALUE"""),"MUNICIPALIDAD PROVINCIAL")</f>
        <v>MUNICIPALIDAD PROVINCIAL</v>
      </c>
      <c r="C1788" s="25" t="str">
        <f ca="1">IFERROR(__xludf.DUMMYFUNCTION("""COMPUTED_VALUE"""),"MUNICIPALIDAD PROVINCIAL DE SAN ANTONIO DE PUTINA")</f>
        <v>MUNICIPALIDAD PROVINCIAL DE SAN ANTONIO DE PUTINA</v>
      </c>
      <c r="D1788" s="25" t="str">
        <f ca="1">IFERROR(__xludf.DUMMYFUNCTION("""COMPUTED_VALUE"""),"PUNO")</f>
        <v>PUNO</v>
      </c>
      <c r="E1788" s="25" t="str">
        <f ca="1">IFERROR(__xludf.DUMMYFUNCTION("""COMPUTED_VALUE"""),"PUNO")</f>
        <v>PUNO</v>
      </c>
      <c r="F1788" s="25" t="str">
        <f ca="1">IFERROR(__xludf.DUMMYFUNCTION("""COMPUTED_VALUE"""),"SAN ANTONIO DE PUTINA")</f>
        <v>SAN ANTONIO DE PUTINA</v>
      </c>
      <c r="G1788" s="25" t="str">
        <f ca="1">IFERROR(__xludf.DUMMYFUNCTION("""COMPUTED_VALUE"""),"PUTINA")</f>
        <v>PUTINA</v>
      </c>
      <c r="H1788" s="25" t="str">
        <f ca="1">IFERROR(__xludf.DUMMYFUNCTION("""COMPUTED_VALUE"""),"URBANO")</f>
        <v>URBANO</v>
      </c>
      <c r="I1788" s="25" t="str">
        <f ca="1">IFERROR(__xludf.DUMMYFUNCTION("""COMPUTED_VALUE"""),"Prioridad 1")</f>
        <v>Prioridad 1</v>
      </c>
      <c r="J1788" s="42" t="s">
        <v>260</v>
      </c>
    </row>
    <row r="1789" spans="2:10">
      <c r="B1789" s="25" t="str">
        <f ca="1">IFERROR(__xludf.DUMMYFUNCTION("""COMPUTED_VALUE"""),"MUNICIPALIDAD DISTRITAL")</f>
        <v>MUNICIPALIDAD DISTRITAL</v>
      </c>
      <c r="C1789" s="25" t="str">
        <f ca="1">IFERROR(__xludf.DUMMYFUNCTION("""COMPUTED_VALUE"""),"MUNICIPALIDAD DISTRITAL DE QUILCAPUNCU")</f>
        <v>MUNICIPALIDAD DISTRITAL DE QUILCAPUNCU</v>
      </c>
      <c r="D1789" s="25" t="str">
        <f ca="1">IFERROR(__xludf.DUMMYFUNCTION("""COMPUTED_VALUE"""),"PUNO")</f>
        <v>PUNO</v>
      </c>
      <c r="E1789" s="25" t="str">
        <f ca="1">IFERROR(__xludf.DUMMYFUNCTION("""COMPUTED_VALUE"""),"PUNO")</f>
        <v>PUNO</v>
      </c>
      <c r="F1789" s="25" t="str">
        <f ca="1">IFERROR(__xludf.DUMMYFUNCTION("""COMPUTED_VALUE"""),"SAN ANTONIO DE PUTINA")</f>
        <v>SAN ANTONIO DE PUTINA</v>
      </c>
      <c r="G1789" s="25" t="str">
        <f ca="1">IFERROR(__xludf.DUMMYFUNCTION("""COMPUTED_VALUE"""),"QUILCAPUNCU")</f>
        <v>QUILCAPUNCU</v>
      </c>
      <c r="H1789" s="25" t="str">
        <f ca="1">IFERROR(__xludf.DUMMYFUNCTION("""COMPUTED_VALUE"""),"RURAL")</f>
        <v>RURAL</v>
      </c>
      <c r="I1789" s="25" t="str">
        <f ca="1">IFERROR(__xludf.DUMMYFUNCTION("""COMPUTED_VALUE"""),"Prioridad 5")</f>
        <v>Prioridad 5</v>
      </c>
      <c r="J1789" s="42" t="s">
        <v>260</v>
      </c>
    </row>
    <row r="1790" spans="2:10">
      <c r="B1790" s="25" t="str">
        <f ca="1">IFERROR(__xludf.DUMMYFUNCTION("""COMPUTED_VALUE"""),"MUNICIPALIDAD DISTRITAL")</f>
        <v>MUNICIPALIDAD DISTRITAL</v>
      </c>
      <c r="C1790" s="25" t="str">
        <f ca="1">IFERROR(__xludf.DUMMYFUNCTION("""COMPUTED_VALUE"""),"MUNICIPALIDAD DISTRITAL DE SINA")</f>
        <v>MUNICIPALIDAD DISTRITAL DE SINA</v>
      </c>
      <c r="D1790" s="25" t="str">
        <f ca="1">IFERROR(__xludf.DUMMYFUNCTION("""COMPUTED_VALUE"""),"PUNO")</f>
        <v>PUNO</v>
      </c>
      <c r="E1790" s="25" t="str">
        <f ca="1">IFERROR(__xludf.DUMMYFUNCTION("""COMPUTED_VALUE"""),"PUNO")</f>
        <v>PUNO</v>
      </c>
      <c r="F1790" s="25" t="str">
        <f ca="1">IFERROR(__xludf.DUMMYFUNCTION("""COMPUTED_VALUE"""),"SAN ANTONIO DE PUTINA")</f>
        <v>SAN ANTONIO DE PUTINA</v>
      </c>
      <c r="G1790" s="25" t="str">
        <f ca="1">IFERROR(__xludf.DUMMYFUNCTION("""COMPUTED_VALUE"""),"SINA")</f>
        <v>SINA</v>
      </c>
      <c r="H1790" s="25" t="str">
        <f ca="1">IFERROR(__xludf.DUMMYFUNCTION("""COMPUTED_VALUE"""),"RURAL")</f>
        <v>RURAL</v>
      </c>
      <c r="I1790" s="25" t="str">
        <f ca="1">IFERROR(__xludf.DUMMYFUNCTION("""COMPUTED_VALUE"""),"Prioridad 3")</f>
        <v>Prioridad 3</v>
      </c>
      <c r="J1790" s="42" t="s">
        <v>260</v>
      </c>
    </row>
    <row r="1791" spans="2:10">
      <c r="B1791" s="25" t="str">
        <f ca="1">IFERROR(__xludf.DUMMYFUNCTION("""COMPUTED_VALUE"""),"MUNICIPALIDAD DISTRITAL")</f>
        <v>MUNICIPALIDAD DISTRITAL</v>
      </c>
      <c r="C1791" s="25" t="str">
        <f ca="1">IFERROR(__xludf.DUMMYFUNCTION("""COMPUTED_VALUE"""),"MUNICIPALIDAD DISTRITAL DE CABANA EN SAN ROMAN")</f>
        <v>MUNICIPALIDAD DISTRITAL DE CABANA EN SAN ROMAN</v>
      </c>
      <c r="D1791" s="25" t="str">
        <f ca="1">IFERROR(__xludf.DUMMYFUNCTION("""COMPUTED_VALUE"""),"PUNO")</f>
        <v>PUNO</v>
      </c>
      <c r="E1791" s="25" t="str">
        <f ca="1">IFERROR(__xludf.DUMMYFUNCTION("""COMPUTED_VALUE"""),"PUNO")</f>
        <v>PUNO</v>
      </c>
      <c r="F1791" s="25" t="str">
        <f ca="1">IFERROR(__xludf.DUMMYFUNCTION("""COMPUTED_VALUE"""),"SAN ROMAN")</f>
        <v>SAN ROMAN</v>
      </c>
      <c r="G1791" s="25" t="str">
        <f ca="1">IFERROR(__xludf.DUMMYFUNCTION("""COMPUTED_VALUE"""),"CABANA")</f>
        <v>CABANA</v>
      </c>
      <c r="H1791" s="25" t="str">
        <f ca="1">IFERROR(__xludf.DUMMYFUNCTION("""COMPUTED_VALUE"""),"RURAL")</f>
        <v>RURAL</v>
      </c>
      <c r="I1791" s="25" t="str">
        <f ca="1">IFERROR(__xludf.DUMMYFUNCTION("""COMPUTED_VALUE"""),"Prioridad 4")</f>
        <v>Prioridad 4</v>
      </c>
      <c r="J1791" s="42" t="s">
        <v>260</v>
      </c>
    </row>
    <row r="1792" spans="2:10">
      <c r="B1792" s="25" t="str">
        <f ca="1">IFERROR(__xludf.DUMMYFUNCTION("""COMPUTED_VALUE"""),"MUNICIPALIDAD DISTRITAL")</f>
        <v>MUNICIPALIDAD DISTRITAL</v>
      </c>
      <c r="C1792" s="25" t="str">
        <f ca="1">IFERROR(__xludf.DUMMYFUNCTION("""COMPUTED_VALUE"""),"MUNICIPALIDAD DISTRITAL DE CABANILLAS")</f>
        <v>MUNICIPALIDAD DISTRITAL DE CABANILLAS</v>
      </c>
      <c r="D1792" s="25" t="str">
        <f ca="1">IFERROR(__xludf.DUMMYFUNCTION("""COMPUTED_VALUE"""),"PUNO")</f>
        <v>PUNO</v>
      </c>
      <c r="E1792" s="25" t="str">
        <f ca="1">IFERROR(__xludf.DUMMYFUNCTION("""COMPUTED_VALUE"""),"PUNO")</f>
        <v>PUNO</v>
      </c>
      <c r="F1792" s="25" t="str">
        <f ca="1">IFERROR(__xludf.DUMMYFUNCTION("""COMPUTED_VALUE"""),"SAN ROMAN")</f>
        <v>SAN ROMAN</v>
      </c>
      <c r="G1792" s="25" t="str">
        <f ca="1">IFERROR(__xludf.DUMMYFUNCTION("""COMPUTED_VALUE"""),"CABANILLAS")</f>
        <v>CABANILLAS</v>
      </c>
      <c r="H1792" s="25" t="str">
        <f ca="1">IFERROR(__xludf.DUMMYFUNCTION("""COMPUTED_VALUE"""),"RURAL")</f>
        <v>RURAL</v>
      </c>
      <c r="I1792" s="25" t="str">
        <f ca="1">IFERROR(__xludf.DUMMYFUNCTION("""COMPUTED_VALUE"""),"Prioridad 2")</f>
        <v>Prioridad 2</v>
      </c>
      <c r="J1792" s="42" t="s">
        <v>260</v>
      </c>
    </row>
    <row r="1793" spans="2:10">
      <c r="B1793" s="25" t="str">
        <f ca="1">IFERROR(__xludf.DUMMYFUNCTION("""COMPUTED_VALUE"""),"MUNICIPALIDAD DISTRITAL")</f>
        <v>MUNICIPALIDAD DISTRITAL</v>
      </c>
      <c r="C1793" s="25" t="str">
        <f ca="1">IFERROR(__xludf.DUMMYFUNCTION("""COMPUTED_VALUE"""),"MUNICIPALIDAD DISTRITAL DE CARACOTO")</f>
        <v>MUNICIPALIDAD DISTRITAL DE CARACOTO</v>
      </c>
      <c r="D1793" s="25" t="str">
        <f ca="1">IFERROR(__xludf.DUMMYFUNCTION("""COMPUTED_VALUE"""),"PUNO")</f>
        <v>PUNO</v>
      </c>
      <c r="E1793" s="25" t="str">
        <f ca="1">IFERROR(__xludf.DUMMYFUNCTION("""COMPUTED_VALUE"""),"PUNO")</f>
        <v>PUNO</v>
      </c>
      <c r="F1793" s="25" t="str">
        <f ca="1">IFERROR(__xludf.DUMMYFUNCTION("""COMPUTED_VALUE"""),"SAN ROMAN")</f>
        <v>SAN ROMAN</v>
      </c>
      <c r="G1793" s="25" t="str">
        <f ca="1">IFERROR(__xludf.DUMMYFUNCTION("""COMPUTED_VALUE"""),"CARACOTO")</f>
        <v>CARACOTO</v>
      </c>
      <c r="H1793" s="25" t="str">
        <f ca="1">IFERROR(__xludf.DUMMYFUNCTION("""COMPUTED_VALUE"""),"RURAL")</f>
        <v>RURAL</v>
      </c>
      <c r="I1793" s="25" t="str">
        <f ca="1">IFERROR(__xludf.DUMMYFUNCTION("""COMPUTED_VALUE"""),"Prioridad 3")</f>
        <v>Prioridad 3</v>
      </c>
      <c r="J1793" s="42" t="s">
        <v>260</v>
      </c>
    </row>
    <row r="1794" spans="2:10">
      <c r="B1794" s="25" t="str">
        <f ca="1">IFERROR(__xludf.DUMMYFUNCTION("""COMPUTED_VALUE"""),"MUNICIPALIDAD PROVINCIAL")</f>
        <v>MUNICIPALIDAD PROVINCIAL</v>
      </c>
      <c r="C1794" s="25" t="str">
        <f ca="1">IFERROR(__xludf.DUMMYFUNCTION("""COMPUTED_VALUE"""),"MUNICIPALIDAD PROVINCIAL DE SAN ROMAN")</f>
        <v>MUNICIPALIDAD PROVINCIAL DE SAN ROMAN</v>
      </c>
      <c r="D1794" s="25" t="str">
        <f ca="1">IFERROR(__xludf.DUMMYFUNCTION("""COMPUTED_VALUE"""),"PUNO")</f>
        <v>PUNO</v>
      </c>
      <c r="E1794" s="25" t="str">
        <f ca="1">IFERROR(__xludf.DUMMYFUNCTION("""COMPUTED_VALUE"""),"PUNO")</f>
        <v>PUNO</v>
      </c>
      <c r="F1794" s="25" t="str">
        <f ca="1">IFERROR(__xludf.DUMMYFUNCTION("""COMPUTED_VALUE"""),"SAN ROMAN")</f>
        <v>SAN ROMAN</v>
      </c>
      <c r="G1794" s="25" t="str">
        <f ca="1">IFERROR(__xludf.DUMMYFUNCTION("""COMPUTED_VALUE"""),"JULIACA")</f>
        <v>JULIACA</v>
      </c>
      <c r="H1794" s="25" t="str">
        <f ca="1">IFERROR(__xludf.DUMMYFUNCTION("""COMPUTED_VALUE"""),"URBANO")</f>
        <v>URBANO</v>
      </c>
      <c r="I1794" s="25" t="str">
        <f ca="1">IFERROR(__xludf.DUMMYFUNCTION("""COMPUTED_VALUE"""),"Prioridad 1")</f>
        <v>Prioridad 1</v>
      </c>
      <c r="J1794" s="42" t="s">
        <v>260</v>
      </c>
    </row>
    <row r="1795" spans="2:10">
      <c r="B1795" s="25" t="str">
        <f ca="1">IFERROR(__xludf.DUMMYFUNCTION("""COMPUTED_VALUE"""),"MUNICIPALIDAD DISTRITAL")</f>
        <v>MUNICIPALIDAD DISTRITAL</v>
      </c>
      <c r="C1795" s="25" t="str">
        <f ca="1">IFERROR(__xludf.DUMMYFUNCTION("""COMPUTED_VALUE"""),"MUNICIPALIDAD DISTRITAL DE SAN MIGUEL EN SAN ROMAN")</f>
        <v>MUNICIPALIDAD DISTRITAL DE SAN MIGUEL EN SAN ROMAN</v>
      </c>
      <c r="D1795" s="25" t="str">
        <f ca="1">IFERROR(__xludf.DUMMYFUNCTION("""COMPUTED_VALUE"""),"PUNO")</f>
        <v>PUNO</v>
      </c>
      <c r="E1795" s="25" t="str">
        <f ca="1">IFERROR(__xludf.DUMMYFUNCTION("""COMPUTED_VALUE"""),"PUNO")</f>
        <v>PUNO</v>
      </c>
      <c r="F1795" s="25" t="str">
        <f ca="1">IFERROR(__xludf.DUMMYFUNCTION("""COMPUTED_VALUE"""),"SAN ROMAN")</f>
        <v>SAN ROMAN</v>
      </c>
      <c r="G1795" s="25" t="str">
        <f ca="1">IFERROR(__xludf.DUMMYFUNCTION("""COMPUTED_VALUE"""),"SAN MIGUEL")</f>
        <v>SAN MIGUEL</v>
      </c>
      <c r="H1795" s="25" t="str">
        <f ca="1">IFERROR(__xludf.DUMMYFUNCTION("""COMPUTED_VALUE"""),"URBANO")</f>
        <v>URBANO</v>
      </c>
      <c r="I1795" s="25" t="str">
        <f ca="1">IFERROR(__xludf.DUMMYFUNCTION("""COMPUTED_VALUE"""),"Prioridad 4")</f>
        <v>Prioridad 4</v>
      </c>
      <c r="J1795" s="42" t="s">
        <v>260</v>
      </c>
    </row>
    <row r="1796" spans="2:10">
      <c r="B1796" s="25" t="str">
        <f ca="1">IFERROR(__xludf.DUMMYFUNCTION("""COMPUTED_VALUE"""),"MUNICIPALIDAD DISTRITAL")</f>
        <v>MUNICIPALIDAD DISTRITAL</v>
      </c>
      <c r="C1796" s="25" t="str">
        <f ca="1">IFERROR(__xludf.DUMMYFUNCTION("""COMPUTED_VALUE"""),"MUNICIPALIDAD DISTRITAL DE ALTO INAMBARI")</f>
        <v>MUNICIPALIDAD DISTRITAL DE ALTO INAMBARI</v>
      </c>
      <c r="D1796" s="25" t="str">
        <f ca="1">IFERROR(__xludf.DUMMYFUNCTION("""COMPUTED_VALUE"""),"PUNO")</f>
        <v>PUNO</v>
      </c>
      <c r="E1796" s="25" t="str">
        <f ca="1">IFERROR(__xludf.DUMMYFUNCTION("""COMPUTED_VALUE"""),"PUNO")</f>
        <v>PUNO</v>
      </c>
      <c r="F1796" s="25" t="str">
        <f ca="1">IFERROR(__xludf.DUMMYFUNCTION("""COMPUTED_VALUE"""),"SANDIA")</f>
        <v>SANDIA</v>
      </c>
      <c r="G1796" s="25" t="str">
        <f ca="1">IFERROR(__xludf.DUMMYFUNCTION("""COMPUTED_VALUE"""),"ALTO INAMBARI")</f>
        <v>ALTO INAMBARI</v>
      </c>
      <c r="H1796" s="25" t="str">
        <f ca="1">IFERROR(__xludf.DUMMYFUNCTION("""COMPUTED_VALUE"""),"RURAL")</f>
        <v>RURAL</v>
      </c>
      <c r="I1796" s="25" t="str">
        <f ca="1">IFERROR(__xludf.DUMMYFUNCTION("""COMPUTED_VALUE"""),"Prioridad 3")</f>
        <v>Prioridad 3</v>
      </c>
      <c r="J1796" s="42" t="s">
        <v>260</v>
      </c>
    </row>
    <row r="1797" spans="2:10">
      <c r="B1797" s="25" t="str">
        <f ca="1">IFERROR(__xludf.DUMMYFUNCTION("""COMPUTED_VALUE"""),"MUNICIPALIDAD DISTRITAL")</f>
        <v>MUNICIPALIDAD DISTRITAL</v>
      </c>
      <c r="C1797" s="25" t="str">
        <f ca="1">IFERROR(__xludf.DUMMYFUNCTION("""COMPUTED_VALUE"""),"MUNICIPALIDAD DISTRITAL DE CUYOCUYO")</f>
        <v>MUNICIPALIDAD DISTRITAL DE CUYOCUYO</v>
      </c>
      <c r="D1797" s="25" t="str">
        <f ca="1">IFERROR(__xludf.DUMMYFUNCTION("""COMPUTED_VALUE"""),"PUNO")</f>
        <v>PUNO</v>
      </c>
      <c r="E1797" s="25" t="str">
        <f ca="1">IFERROR(__xludf.DUMMYFUNCTION("""COMPUTED_VALUE"""),"PUNO")</f>
        <v>PUNO</v>
      </c>
      <c r="F1797" s="25" t="str">
        <f ca="1">IFERROR(__xludf.DUMMYFUNCTION("""COMPUTED_VALUE"""),"SANDIA")</f>
        <v>SANDIA</v>
      </c>
      <c r="G1797" s="25" t="str">
        <f ca="1">IFERROR(__xludf.DUMMYFUNCTION("""COMPUTED_VALUE"""),"CUYOCUYO")</f>
        <v>CUYOCUYO</v>
      </c>
      <c r="H1797" s="25" t="str">
        <f ca="1">IFERROR(__xludf.DUMMYFUNCTION("""COMPUTED_VALUE"""),"RURAL")</f>
        <v>RURAL</v>
      </c>
      <c r="I1797" s="25" t="str">
        <f ca="1">IFERROR(__xludf.DUMMYFUNCTION("""COMPUTED_VALUE"""),"Prioridad 3")</f>
        <v>Prioridad 3</v>
      </c>
      <c r="J1797" s="42" t="s">
        <v>260</v>
      </c>
    </row>
    <row r="1798" spans="2:10">
      <c r="B1798" s="25" t="str">
        <f ca="1">IFERROR(__xludf.DUMMYFUNCTION("""COMPUTED_VALUE"""),"MUNICIPALIDAD DISTRITAL")</f>
        <v>MUNICIPALIDAD DISTRITAL</v>
      </c>
      <c r="C1798" s="25" t="str">
        <f ca="1">IFERROR(__xludf.DUMMYFUNCTION("""COMPUTED_VALUE"""),"MUNICIPALIDAD DISTRITAL DE LIMBANI")</f>
        <v>MUNICIPALIDAD DISTRITAL DE LIMBANI</v>
      </c>
      <c r="D1798" s="25" t="str">
        <f ca="1">IFERROR(__xludf.DUMMYFUNCTION("""COMPUTED_VALUE"""),"PUNO")</f>
        <v>PUNO</v>
      </c>
      <c r="E1798" s="25" t="str">
        <f ca="1">IFERROR(__xludf.DUMMYFUNCTION("""COMPUTED_VALUE"""),"PUNO")</f>
        <v>PUNO</v>
      </c>
      <c r="F1798" s="25" t="str">
        <f ca="1">IFERROR(__xludf.DUMMYFUNCTION("""COMPUTED_VALUE"""),"SANDIA")</f>
        <v>SANDIA</v>
      </c>
      <c r="G1798" s="25" t="str">
        <f ca="1">IFERROR(__xludf.DUMMYFUNCTION("""COMPUTED_VALUE"""),"LIMBANI")</f>
        <v>LIMBANI</v>
      </c>
      <c r="H1798" s="25" t="str">
        <f ca="1">IFERROR(__xludf.DUMMYFUNCTION("""COMPUTED_VALUE"""),"RURAL")</f>
        <v>RURAL</v>
      </c>
      <c r="I1798" s="25" t="str">
        <f ca="1">IFERROR(__xludf.DUMMYFUNCTION("""COMPUTED_VALUE"""),"Prioridad 2")</f>
        <v>Prioridad 2</v>
      </c>
      <c r="J1798" s="42" t="s">
        <v>260</v>
      </c>
    </row>
    <row r="1799" spans="2:10">
      <c r="B1799" s="25" t="str">
        <f ca="1">IFERROR(__xludf.DUMMYFUNCTION("""COMPUTED_VALUE"""),"MUNICIPALIDAD DISTRITAL")</f>
        <v>MUNICIPALIDAD DISTRITAL</v>
      </c>
      <c r="C1799" s="25" t="str">
        <f ca="1">IFERROR(__xludf.DUMMYFUNCTION("""COMPUTED_VALUE"""),"MUNICIPALIDAD DISTRITAL DE PATAMBUCO")</f>
        <v>MUNICIPALIDAD DISTRITAL DE PATAMBUCO</v>
      </c>
      <c r="D1799" s="25" t="str">
        <f ca="1">IFERROR(__xludf.DUMMYFUNCTION("""COMPUTED_VALUE"""),"PUNO")</f>
        <v>PUNO</v>
      </c>
      <c r="E1799" s="25" t="str">
        <f ca="1">IFERROR(__xludf.DUMMYFUNCTION("""COMPUTED_VALUE"""),"PUNO")</f>
        <v>PUNO</v>
      </c>
      <c r="F1799" s="25" t="str">
        <f ca="1">IFERROR(__xludf.DUMMYFUNCTION("""COMPUTED_VALUE"""),"SANDIA")</f>
        <v>SANDIA</v>
      </c>
      <c r="G1799" s="25" t="str">
        <f ca="1">IFERROR(__xludf.DUMMYFUNCTION("""COMPUTED_VALUE"""),"PATAMBUCO")</f>
        <v>PATAMBUCO</v>
      </c>
      <c r="H1799" s="25" t="str">
        <f ca="1">IFERROR(__xludf.DUMMYFUNCTION("""COMPUTED_VALUE"""),"RURAL")</f>
        <v>RURAL</v>
      </c>
      <c r="I1799" s="25" t="str">
        <f ca="1">IFERROR(__xludf.DUMMYFUNCTION("""COMPUTED_VALUE"""),"Prioridad 3")</f>
        <v>Prioridad 3</v>
      </c>
      <c r="J1799" s="42" t="s">
        <v>260</v>
      </c>
    </row>
    <row r="1800" spans="2:10">
      <c r="B1800" s="25" t="str">
        <f ca="1">IFERROR(__xludf.DUMMYFUNCTION("""COMPUTED_VALUE"""),"MUNICIPALIDAD DISTRITAL")</f>
        <v>MUNICIPALIDAD DISTRITAL</v>
      </c>
      <c r="C1800" s="25" t="str">
        <f ca="1">IFERROR(__xludf.DUMMYFUNCTION("""COMPUTED_VALUE"""),"MUNICIPALIDAD DISTRITAL DE QUIACA")</f>
        <v>MUNICIPALIDAD DISTRITAL DE QUIACA</v>
      </c>
      <c r="D1800" s="25" t="str">
        <f ca="1">IFERROR(__xludf.DUMMYFUNCTION("""COMPUTED_VALUE"""),"PUNO")</f>
        <v>PUNO</v>
      </c>
      <c r="E1800" s="25" t="str">
        <f ca="1">IFERROR(__xludf.DUMMYFUNCTION("""COMPUTED_VALUE"""),"PUNO")</f>
        <v>PUNO</v>
      </c>
      <c r="F1800" s="25" t="str">
        <f ca="1">IFERROR(__xludf.DUMMYFUNCTION("""COMPUTED_VALUE"""),"SANDIA")</f>
        <v>SANDIA</v>
      </c>
      <c r="G1800" s="25" t="str">
        <f ca="1">IFERROR(__xludf.DUMMYFUNCTION("""COMPUTED_VALUE"""),"QUIACA")</f>
        <v>QUIACA</v>
      </c>
      <c r="H1800" s="25" t="str">
        <f ca="1">IFERROR(__xludf.DUMMYFUNCTION("""COMPUTED_VALUE"""),"RURAL")</f>
        <v>RURAL</v>
      </c>
      <c r="I1800" s="25" t="str">
        <f ca="1">IFERROR(__xludf.DUMMYFUNCTION("""COMPUTED_VALUE"""),"Prioridad 3")</f>
        <v>Prioridad 3</v>
      </c>
      <c r="J1800" s="42" t="s">
        <v>260</v>
      </c>
    </row>
    <row r="1801" spans="2:10">
      <c r="B1801" s="25" t="str">
        <f ca="1">IFERROR(__xludf.DUMMYFUNCTION("""COMPUTED_VALUE"""),"MUNICIPALIDAD DISTRITAL")</f>
        <v>MUNICIPALIDAD DISTRITAL</v>
      </c>
      <c r="C1801" s="25" t="str">
        <f ca="1">IFERROR(__xludf.DUMMYFUNCTION("""COMPUTED_VALUE"""),"MUNICIPALIDAD DISTRITAL DE SAN JUAN DEL ORO")</f>
        <v>MUNICIPALIDAD DISTRITAL DE SAN JUAN DEL ORO</v>
      </c>
      <c r="D1801" s="25" t="str">
        <f ca="1">IFERROR(__xludf.DUMMYFUNCTION("""COMPUTED_VALUE"""),"PUNO")</f>
        <v>PUNO</v>
      </c>
      <c r="E1801" s="25" t="str">
        <f ca="1">IFERROR(__xludf.DUMMYFUNCTION("""COMPUTED_VALUE"""),"PUNO")</f>
        <v>PUNO</v>
      </c>
      <c r="F1801" s="25" t="str">
        <f ca="1">IFERROR(__xludf.DUMMYFUNCTION("""COMPUTED_VALUE"""),"SANDIA")</f>
        <v>SANDIA</v>
      </c>
      <c r="G1801" s="25" t="str">
        <f ca="1">IFERROR(__xludf.DUMMYFUNCTION("""COMPUTED_VALUE"""),"SAN JUAN DEL ORO")</f>
        <v>SAN JUAN DEL ORO</v>
      </c>
      <c r="H1801" s="25" t="str">
        <f ca="1">IFERROR(__xludf.DUMMYFUNCTION("""COMPUTED_VALUE"""),"RURAL")</f>
        <v>RURAL</v>
      </c>
      <c r="I1801" s="25" t="str">
        <f ca="1">IFERROR(__xludf.DUMMYFUNCTION("""COMPUTED_VALUE"""),"Prioridad 5")</f>
        <v>Prioridad 5</v>
      </c>
      <c r="J1801" s="42" t="s">
        <v>260</v>
      </c>
    </row>
    <row r="1802" spans="2:10">
      <c r="B1802" s="25" t="str">
        <f ca="1">IFERROR(__xludf.DUMMYFUNCTION("""COMPUTED_VALUE"""),"MUNICIPALIDAD DISTRITAL")</f>
        <v>MUNICIPALIDAD DISTRITAL</v>
      </c>
      <c r="C1802" s="25" t="str">
        <f ca="1">IFERROR(__xludf.DUMMYFUNCTION("""COMPUTED_VALUE"""),"MUNICIPALIDAD DISTRITAL DE SAN PEDRO DE PUTINA PUNCO")</f>
        <v>MUNICIPALIDAD DISTRITAL DE SAN PEDRO DE PUTINA PUNCO</v>
      </c>
      <c r="D1802" s="25" t="str">
        <f ca="1">IFERROR(__xludf.DUMMYFUNCTION("""COMPUTED_VALUE"""),"PUNO")</f>
        <v>PUNO</v>
      </c>
      <c r="E1802" s="25" t="str">
        <f ca="1">IFERROR(__xludf.DUMMYFUNCTION("""COMPUTED_VALUE"""),"PUNO")</f>
        <v>PUNO</v>
      </c>
      <c r="F1802" s="25" t="str">
        <f ca="1">IFERROR(__xludf.DUMMYFUNCTION("""COMPUTED_VALUE"""),"SANDIA")</f>
        <v>SANDIA</v>
      </c>
      <c r="G1802" s="25" t="str">
        <f ca="1">IFERROR(__xludf.DUMMYFUNCTION("""COMPUTED_VALUE"""),"SAN PEDRO DE PUTINA PUNCO")</f>
        <v>SAN PEDRO DE PUTINA PUNCO</v>
      </c>
      <c r="H1802" s="25" t="str">
        <f ca="1">IFERROR(__xludf.DUMMYFUNCTION("""COMPUTED_VALUE"""),"RURAL")</f>
        <v>RURAL</v>
      </c>
      <c r="I1802" s="25" t="str">
        <f ca="1">IFERROR(__xludf.DUMMYFUNCTION("""COMPUTED_VALUE"""),"Prioridad 5")</f>
        <v>Prioridad 5</v>
      </c>
      <c r="J1802" s="42" t="s">
        <v>260</v>
      </c>
    </row>
    <row r="1803" spans="2:10">
      <c r="B1803" s="25" t="str">
        <f ca="1">IFERROR(__xludf.DUMMYFUNCTION("""COMPUTED_VALUE"""),"MUNICIPALIDAD PROVINCIAL")</f>
        <v>MUNICIPALIDAD PROVINCIAL</v>
      </c>
      <c r="C1803" s="25" t="str">
        <f ca="1">IFERROR(__xludf.DUMMYFUNCTION("""COMPUTED_VALUE"""),"MUNICIPALIDAD PROVINCIAL DE SANDIA")</f>
        <v>MUNICIPALIDAD PROVINCIAL DE SANDIA</v>
      </c>
      <c r="D1803" s="25" t="str">
        <f ca="1">IFERROR(__xludf.DUMMYFUNCTION("""COMPUTED_VALUE"""),"PUNO")</f>
        <v>PUNO</v>
      </c>
      <c r="E1803" s="25" t="str">
        <f ca="1">IFERROR(__xludf.DUMMYFUNCTION("""COMPUTED_VALUE"""),"PUNO")</f>
        <v>PUNO</v>
      </c>
      <c r="F1803" s="25" t="str">
        <f ca="1">IFERROR(__xludf.DUMMYFUNCTION("""COMPUTED_VALUE"""),"SANDIA")</f>
        <v>SANDIA</v>
      </c>
      <c r="G1803" s="25" t="str">
        <f ca="1">IFERROR(__xludf.DUMMYFUNCTION("""COMPUTED_VALUE"""),"SANDIA")</f>
        <v>SANDIA</v>
      </c>
      <c r="H1803" s="25" t="str">
        <f ca="1">IFERROR(__xludf.DUMMYFUNCTION("""COMPUTED_VALUE"""),"RURAL")</f>
        <v>RURAL</v>
      </c>
      <c r="I1803" s="25" t="str">
        <f ca="1">IFERROR(__xludf.DUMMYFUNCTION("""COMPUTED_VALUE"""),"Prioridad 1")</f>
        <v>Prioridad 1</v>
      </c>
      <c r="J1803" s="42" t="s">
        <v>260</v>
      </c>
    </row>
    <row r="1804" spans="2:10">
      <c r="B1804" s="25" t="str">
        <f ca="1">IFERROR(__xludf.DUMMYFUNCTION("""COMPUTED_VALUE"""),"MUNICIPALIDAD DISTRITAL")</f>
        <v>MUNICIPALIDAD DISTRITAL</v>
      </c>
      <c r="C1804" s="25" t="str">
        <f ca="1">IFERROR(__xludf.DUMMYFUNCTION("""COMPUTED_VALUE"""),"MUNICIPALIDAD DISTRITAL DE YANAHUAYA")</f>
        <v>MUNICIPALIDAD DISTRITAL DE YANAHUAYA</v>
      </c>
      <c r="D1804" s="25" t="str">
        <f ca="1">IFERROR(__xludf.DUMMYFUNCTION("""COMPUTED_VALUE"""),"PUNO")</f>
        <v>PUNO</v>
      </c>
      <c r="E1804" s="25" t="str">
        <f ca="1">IFERROR(__xludf.DUMMYFUNCTION("""COMPUTED_VALUE"""),"PUNO")</f>
        <v>PUNO</v>
      </c>
      <c r="F1804" s="25" t="str">
        <f ca="1">IFERROR(__xludf.DUMMYFUNCTION("""COMPUTED_VALUE"""),"SANDIA")</f>
        <v>SANDIA</v>
      </c>
      <c r="G1804" s="25" t="str">
        <f ca="1">IFERROR(__xludf.DUMMYFUNCTION("""COMPUTED_VALUE"""),"YANAHUAYA")</f>
        <v>YANAHUAYA</v>
      </c>
      <c r="H1804" s="25" t="str">
        <f ca="1">IFERROR(__xludf.DUMMYFUNCTION("""COMPUTED_VALUE"""),"RURAL")</f>
        <v>RURAL</v>
      </c>
      <c r="I1804" s="25" t="str">
        <f ca="1">IFERROR(__xludf.DUMMYFUNCTION("""COMPUTED_VALUE"""),"Prioridad 3")</f>
        <v>Prioridad 3</v>
      </c>
      <c r="J1804" s="42" t="s">
        <v>260</v>
      </c>
    </row>
    <row r="1805" spans="2:10">
      <c r="B1805" s="25" t="str">
        <f ca="1">IFERROR(__xludf.DUMMYFUNCTION("""COMPUTED_VALUE"""),"MUNICIPALIDAD DISTRITAL")</f>
        <v>MUNICIPALIDAD DISTRITAL</v>
      </c>
      <c r="C1805" s="25" t="str">
        <f ca="1">IFERROR(__xludf.DUMMYFUNCTION("""COMPUTED_VALUE"""),"MUNICIPALIDAD DISTRITAL DE PHARA")</f>
        <v>MUNICIPALIDAD DISTRITAL DE PHARA</v>
      </c>
      <c r="D1805" s="25" t="str">
        <f ca="1">IFERROR(__xludf.DUMMYFUNCTION("""COMPUTED_VALUE"""),"PUNO")</f>
        <v>PUNO</v>
      </c>
      <c r="E1805" s="25" t="str">
        <f ca="1">IFERROR(__xludf.DUMMYFUNCTION("""COMPUTED_VALUE"""),"PUNO")</f>
        <v>PUNO</v>
      </c>
      <c r="F1805" s="25" t="str">
        <f ca="1">IFERROR(__xludf.DUMMYFUNCTION("""COMPUTED_VALUE"""),"SANDIA")</f>
        <v>SANDIA</v>
      </c>
      <c r="G1805" s="25" t="str">
        <f ca="1">IFERROR(__xludf.DUMMYFUNCTION("""COMPUTED_VALUE"""),"PHARA")</f>
        <v>PHARA</v>
      </c>
      <c r="H1805" s="25" t="str">
        <f ca="1">IFERROR(__xludf.DUMMYFUNCTION("""COMPUTED_VALUE"""),"RURAL")</f>
        <v>RURAL</v>
      </c>
      <c r="I1805" s="25" t="str">
        <f ca="1">IFERROR(__xludf.DUMMYFUNCTION("""COMPUTED_VALUE"""),"Prioridad 1")</f>
        <v>Prioridad 1</v>
      </c>
      <c r="J1805" s="42" t="s">
        <v>260</v>
      </c>
    </row>
    <row r="1806" spans="2:10">
      <c r="B1806" s="25" t="str">
        <f ca="1">IFERROR(__xludf.DUMMYFUNCTION("""COMPUTED_VALUE"""),"MUNICIPALIDAD PROVINCIAL")</f>
        <v>MUNICIPALIDAD PROVINCIAL</v>
      </c>
      <c r="C1806" s="25" t="str">
        <f ca="1">IFERROR(__xludf.DUMMYFUNCTION("""COMPUTED_VALUE"""),"MUNICIPALIDAD PROVINCIAL DE YUNGUYO")</f>
        <v>MUNICIPALIDAD PROVINCIAL DE YUNGUYO</v>
      </c>
      <c r="D1806" s="25" t="str">
        <f ca="1">IFERROR(__xludf.DUMMYFUNCTION("""COMPUTED_VALUE"""),"PUNO")</f>
        <v>PUNO</v>
      </c>
      <c r="E1806" s="25" t="str">
        <f ca="1">IFERROR(__xludf.DUMMYFUNCTION("""COMPUTED_VALUE"""),"PUNO")</f>
        <v>PUNO</v>
      </c>
      <c r="F1806" s="25" t="str">
        <f ca="1">IFERROR(__xludf.DUMMYFUNCTION("""COMPUTED_VALUE"""),"YUNGUYO")</f>
        <v>YUNGUYO</v>
      </c>
      <c r="G1806" s="25" t="str">
        <f ca="1">IFERROR(__xludf.DUMMYFUNCTION("""COMPUTED_VALUE"""),"YUNGUYO")</f>
        <v>YUNGUYO</v>
      </c>
      <c r="H1806" s="25" t="str">
        <f ca="1">IFERROR(__xludf.DUMMYFUNCTION("""COMPUTED_VALUE"""),"RURAL")</f>
        <v>RURAL</v>
      </c>
      <c r="I1806" s="25" t="str">
        <f ca="1">IFERROR(__xludf.DUMMYFUNCTION("""COMPUTED_VALUE"""),"Prioridad 2")</f>
        <v>Prioridad 2</v>
      </c>
      <c r="J1806" s="42" t="s">
        <v>260</v>
      </c>
    </row>
    <row r="1807" spans="2:10">
      <c r="B1807" s="25" t="str">
        <f ca="1">IFERROR(__xludf.DUMMYFUNCTION("""COMPUTED_VALUE"""),"MUNICIPALIDAD DISTRITAL")</f>
        <v>MUNICIPALIDAD DISTRITAL</v>
      </c>
      <c r="C1807" s="25" t="str">
        <f ca="1">IFERROR(__xludf.DUMMYFUNCTION("""COMPUTED_VALUE"""),"MUNICIPALIDAD DISTRITAL DE ANAPIA")</f>
        <v>MUNICIPALIDAD DISTRITAL DE ANAPIA</v>
      </c>
      <c r="D1807" s="25" t="str">
        <f ca="1">IFERROR(__xludf.DUMMYFUNCTION("""COMPUTED_VALUE"""),"PUNO")</f>
        <v>PUNO</v>
      </c>
      <c r="E1807" s="25" t="str">
        <f ca="1">IFERROR(__xludf.DUMMYFUNCTION("""COMPUTED_VALUE"""),"PUNO")</f>
        <v>PUNO</v>
      </c>
      <c r="F1807" s="25" t="str">
        <f ca="1">IFERROR(__xludf.DUMMYFUNCTION("""COMPUTED_VALUE"""),"YUNGUYO")</f>
        <v>YUNGUYO</v>
      </c>
      <c r="G1807" s="25" t="str">
        <f ca="1">IFERROR(__xludf.DUMMYFUNCTION("""COMPUTED_VALUE"""),"ANAPIA")</f>
        <v>ANAPIA</v>
      </c>
      <c r="H1807" s="25" t="str">
        <f ca="1">IFERROR(__xludf.DUMMYFUNCTION("""COMPUTED_VALUE"""),"RURAL")</f>
        <v>RURAL</v>
      </c>
      <c r="I1807" s="25" t="str">
        <f ca="1">IFERROR(__xludf.DUMMYFUNCTION("""COMPUTED_VALUE"""),"Prioridad 5")</f>
        <v>Prioridad 5</v>
      </c>
      <c r="J1807" s="42" t="s">
        <v>260</v>
      </c>
    </row>
    <row r="1808" spans="2:10">
      <c r="B1808" s="25" t="str">
        <f ca="1">IFERROR(__xludf.DUMMYFUNCTION("""COMPUTED_VALUE"""),"MUNICIPALIDAD DISTRITAL")</f>
        <v>MUNICIPALIDAD DISTRITAL</v>
      </c>
      <c r="C1808" s="25" t="str">
        <f ca="1">IFERROR(__xludf.DUMMYFUNCTION("""COMPUTED_VALUE"""),"MUNICIPALIDAD DISTRITAL DE COPANI")</f>
        <v>MUNICIPALIDAD DISTRITAL DE COPANI</v>
      </c>
      <c r="D1808" s="25" t="str">
        <f ca="1">IFERROR(__xludf.DUMMYFUNCTION("""COMPUTED_VALUE"""),"PUNO")</f>
        <v>PUNO</v>
      </c>
      <c r="E1808" s="25" t="str">
        <f ca="1">IFERROR(__xludf.DUMMYFUNCTION("""COMPUTED_VALUE"""),"PUNO")</f>
        <v>PUNO</v>
      </c>
      <c r="F1808" s="25" t="str">
        <f ca="1">IFERROR(__xludf.DUMMYFUNCTION("""COMPUTED_VALUE"""),"YUNGUYO")</f>
        <v>YUNGUYO</v>
      </c>
      <c r="G1808" s="25" t="str">
        <f ca="1">IFERROR(__xludf.DUMMYFUNCTION("""COMPUTED_VALUE"""),"COPANI")</f>
        <v>COPANI</v>
      </c>
      <c r="H1808" s="25" t="str">
        <f ca="1">IFERROR(__xludf.DUMMYFUNCTION("""COMPUTED_VALUE"""),"RURAL")</f>
        <v>RURAL</v>
      </c>
      <c r="I1808" s="25" t="str">
        <f ca="1">IFERROR(__xludf.DUMMYFUNCTION("""COMPUTED_VALUE"""),"Prioridad 5")</f>
        <v>Prioridad 5</v>
      </c>
      <c r="J1808" s="42" t="s">
        <v>260</v>
      </c>
    </row>
    <row r="1809" spans="2:10">
      <c r="B1809" s="25" t="str">
        <f ca="1">IFERROR(__xludf.DUMMYFUNCTION("""COMPUTED_VALUE"""),"MUNICIPALIDAD DISTRITAL")</f>
        <v>MUNICIPALIDAD DISTRITAL</v>
      </c>
      <c r="C1809" s="25" t="str">
        <f ca="1">IFERROR(__xludf.DUMMYFUNCTION("""COMPUTED_VALUE"""),"MUNICIPALIDAD DISTRITAL DE CUTURAPI")</f>
        <v>MUNICIPALIDAD DISTRITAL DE CUTURAPI</v>
      </c>
      <c r="D1809" s="25" t="str">
        <f ca="1">IFERROR(__xludf.DUMMYFUNCTION("""COMPUTED_VALUE"""),"PUNO")</f>
        <v>PUNO</v>
      </c>
      <c r="E1809" s="25" t="str">
        <f ca="1">IFERROR(__xludf.DUMMYFUNCTION("""COMPUTED_VALUE"""),"PUNO")</f>
        <v>PUNO</v>
      </c>
      <c r="F1809" s="25" t="str">
        <f ca="1">IFERROR(__xludf.DUMMYFUNCTION("""COMPUTED_VALUE"""),"YUNGUYO")</f>
        <v>YUNGUYO</v>
      </c>
      <c r="G1809" s="25" t="str">
        <f ca="1">IFERROR(__xludf.DUMMYFUNCTION("""COMPUTED_VALUE"""),"CUTURAPI")</f>
        <v>CUTURAPI</v>
      </c>
      <c r="H1809" s="25" t="str">
        <f ca="1">IFERROR(__xludf.DUMMYFUNCTION("""COMPUTED_VALUE"""),"RURAL")</f>
        <v>RURAL</v>
      </c>
      <c r="I1809" s="25" t="str">
        <f ca="1">IFERROR(__xludf.DUMMYFUNCTION("""COMPUTED_VALUE"""),"Prioridad 3")</f>
        <v>Prioridad 3</v>
      </c>
      <c r="J1809" s="42" t="s">
        <v>260</v>
      </c>
    </row>
    <row r="1810" spans="2:10">
      <c r="B1810" s="25" t="str">
        <f ca="1">IFERROR(__xludf.DUMMYFUNCTION("""COMPUTED_VALUE"""),"MUNICIPALIDAD DISTRITAL")</f>
        <v>MUNICIPALIDAD DISTRITAL</v>
      </c>
      <c r="C1810" s="25" t="str">
        <f ca="1">IFERROR(__xludf.DUMMYFUNCTION("""COMPUTED_VALUE"""),"MUNICIPALIDAD DISTRITAL DE OLLARAYA")</f>
        <v>MUNICIPALIDAD DISTRITAL DE OLLARAYA</v>
      </c>
      <c r="D1810" s="25" t="str">
        <f ca="1">IFERROR(__xludf.DUMMYFUNCTION("""COMPUTED_VALUE"""),"PUNO")</f>
        <v>PUNO</v>
      </c>
      <c r="E1810" s="25" t="str">
        <f ca="1">IFERROR(__xludf.DUMMYFUNCTION("""COMPUTED_VALUE"""),"PUNO")</f>
        <v>PUNO</v>
      </c>
      <c r="F1810" s="25" t="str">
        <f ca="1">IFERROR(__xludf.DUMMYFUNCTION("""COMPUTED_VALUE"""),"YUNGUYO")</f>
        <v>YUNGUYO</v>
      </c>
      <c r="G1810" s="25" t="str">
        <f ca="1">IFERROR(__xludf.DUMMYFUNCTION("""COMPUTED_VALUE"""),"OLLARAYA")</f>
        <v>OLLARAYA</v>
      </c>
      <c r="H1810" s="25" t="str">
        <f ca="1">IFERROR(__xludf.DUMMYFUNCTION("""COMPUTED_VALUE"""),"RURAL")</f>
        <v>RURAL</v>
      </c>
      <c r="I1810" s="25" t="str">
        <f ca="1">IFERROR(__xludf.DUMMYFUNCTION("""COMPUTED_VALUE"""),"Prioridad 5")</f>
        <v>Prioridad 5</v>
      </c>
      <c r="J1810" s="42" t="s">
        <v>260</v>
      </c>
    </row>
    <row r="1811" spans="2:10">
      <c r="B1811" s="25" t="str">
        <f ca="1">IFERROR(__xludf.DUMMYFUNCTION("""COMPUTED_VALUE"""),"MUNICIPALIDAD DISTRITAL")</f>
        <v>MUNICIPALIDAD DISTRITAL</v>
      </c>
      <c r="C1811" s="25" t="str">
        <f ca="1">IFERROR(__xludf.DUMMYFUNCTION("""COMPUTED_VALUE"""),"MUNICIPALIDAD DISTRITAL DE TINICACHI")</f>
        <v>MUNICIPALIDAD DISTRITAL DE TINICACHI</v>
      </c>
      <c r="D1811" s="25" t="str">
        <f ca="1">IFERROR(__xludf.DUMMYFUNCTION("""COMPUTED_VALUE"""),"PUNO")</f>
        <v>PUNO</v>
      </c>
      <c r="E1811" s="25" t="str">
        <f ca="1">IFERROR(__xludf.DUMMYFUNCTION("""COMPUTED_VALUE"""),"PUNO")</f>
        <v>PUNO</v>
      </c>
      <c r="F1811" s="25" t="str">
        <f ca="1">IFERROR(__xludf.DUMMYFUNCTION("""COMPUTED_VALUE"""),"YUNGUYO")</f>
        <v>YUNGUYO</v>
      </c>
      <c r="G1811" s="25" t="str">
        <f ca="1">IFERROR(__xludf.DUMMYFUNCTION("""COMPUTED_VALUE"""),"TINICACHI")</f>
        <v>TINICACHI</v>
      </c>
      <c r="H1811" s="25" t="str">
        <f ca="1">IFERROR(__xludf.DUMMYFUNCTION("""COMPUTED_VALUE"""),"RURAL")</f>
        <v>RURAL</v>
      </c>
      <c r="I1811" s="25" t="str">
        <f ca="1">IFERROR(__xludf.DUMMYFUNCTION("""COMPUTED_VALUE"""),"Prioridad 4")</f>
        <v>Prioridad 4</v>
      </c>
      <c r="J1811" s="42" t="s">
        <v>260</v>
      </c>
    </row>
    <row r="1812" spans="2:10">
      <c r="B1812" s="25" t="str">
        <f ca="1">IFERROR(__xludf.DUMMYFUNCTION("""COMPUTED_VALUE"""),"MUNICIPALIDAD DISTRITAL")</f>
        <v>MUNICIPALIDAD DISTRITAL</v>
      </c>
      <c r="C1812" s="25" t="str">
        <f ca="1">IFERROR(__xludf.DUMMYFUNCTION("""COMPUTED_VALUE"""),"MUNICIPALIDAD DISTRITAL DE UNICACHI")</f>
        <v>MUNICIPALIDAD DISTRITAL DE UNICACHI</v>
      </c>
      <c r="D1812" s="25" t="str">
        <f ca="1">IFERROR(__xludf.DUMMYFUNCTION("""COMPUTED_VALUE"""),"PUNO")</f>
        <v>PUNO</v>
      </c>
      <c r="E1812" s="25" t="str">
        <f ca="1">IFERROR(__xludf.DUMMYFUNCTION("""COMPUTED_VALUE"""),"PUNO")</f>
        <v>PUNO</v>
      </c>
      <c r="F1812" s="25" t="str">
        <f ca="1">IFERROR(__xludf.DUMMYFUNCTION("""COMPUTED_VALUE"""),"YUNGUYO")</f>
        <v>YUNGUYO</v>
      </c>
      <c r="G1812" s="25" t="str">
        <f ca="1">IFERROR(__xludf.DUMMYFUNCTION("""COMPUTED_VALUE"""),"UNICACHI")</f>
        <v>UNICACHI</v>
      </c>
      <c r="H1812" s="25" t="str">
        <f ca="1">IFERROR(__xludf.DUMMYFUNCTION("""COMPUTED_VALUE"""),"RURAL")</f>
        <v>RURAL</v>
      </c>
      <c r="I1812" s="25" t="str">
        <f ca="1">IFERROR(__xludf.DUMMYFUNCTION("""COMPUTED_VALUE"""),"Prioridad 5")</f>
        <v>Prioridad 5</v>
      </c>
      <c r="J1812" s="42" t="s">
        <v>260</v>
      </c>
    </row>
    <row r="1813" spans="2:10">
      <c r="B1813" s="25" t="str">
        <f ca="1">IFERROR(__xludf.DUMMYFUNCTION("""COMPUTED_VALUE"""),"MUNICIPALIDAD PROVINCIAL")</f>
        <v>MUNICIPALIDAD PROVINCIAL</v>
      </c>
      <c r="C1813" s="25" t="str">
        <f ca="1">IFERROR(__xludf.DUMMYFUNCTION("""COMPUTED_VALUE"""),"MUNICIPALIDAD PROVINCIAL DE BELLAVISTA")</f>
        <v>MUNICIPALIDAD PROVINCIAL DE BELLAVISTA</v>
      </c>
      <c r="D1813" s="25" t="str">
        <f ca="1">IFERROR(__xludf.DUMMYFUNCTION("""COMPUTED_VALUE"""),"SAN MARTÍN")</f>
        <v>SAN MARTÍN</v>
      </c>
      <c r="E1813" s="25" t="str">
        <f ca="1">IFERROR(__xludf.DUMMYFUNCTION("""COMPUTED_VALUE"""),"SAN MARTÍN")</f>
        <v>SAN MARTÍN</v>
      </c>
      <c r="F1813" s="25" t="str">
        <f ca="1">IFERROR(__xludf.DUMMYFUNCTION("""COMPUTED_VALUE"""),"BELLAVISTA")</f>
        <v>BELLAVISTA</v>
      </c>
      <c r="G1813" s="25" t="str">
        <f ca="1">IFERROR(__xludf.DUMMYFUNCTION("""COMPUTED_VALUE"""),"BELLAVISTA")</f>
        <v>BELLAVISTA</v>
      </c>
      <c r="H1813" s="25" t="str">
        <f ca="1">IFERROR(__xludf.DUMMYFUNCTION("""COMPUTED_VALUE"""),"URBANO")</f>
        <v>URBANO</v>
      </c>
      <c r="I1813" s="25" t="str">
        <f ca="1">IFERROR(__xludf.DUMMYFUNCTION("""COMPUTED_VALUE"""),"Prioridad 1")</f>
        <v>Prioridad 1</v>
      </c>
      <c r="J1813" s="42" t="s">
        <v>260</v>
      </c>
    </row>
    <row r="1814" spans="2:10">
      <c r="B1814" s="25" t="str">
        <f ca="1">IFERROR(__xludf.DUMMYFUNCTION("""COMPUTED_VALUE"""),"MUNICIPALIDAD DISTRITAL")</f>
        <v>MUNICIPALIDAD DISTRITAL</v>
      </c>
      <c r="C1814" s="25" t="str">
        <f ca="1">IFERROR(__xludf.DUMMYFUNCTION("""COMPUTED_VALUE"""),"MUNICIPALIDAD DISTRITAL DE ALTO BIAVO")</f>
        <v>MUNICIPALIDAD DISTRITAL DE ALTO BIAVO</v>
      </c>
      <c r="D1814" s="25" t="str">
        <f ca="1">IFERROR(__xludf.DUMMYFUNCTION("""COMPUTED_VALUE"""),"SAN MARTÍN")</f>
        <v>SAN MARTÍN</v>
      </c>
      <c r="E1814" s="25" t="str">
        <f ca="1">IFERROR(__xludf.DUMMYFUNCTION("""COMPUTED_VALUE"""),"SAN MARTÍN")</f>
        <v>SAN MARTÍN</v>
      </c>
      <c r="F1814" s="25" t="str">
        <f ca="1">IFERROR(__xludf.DUMMYFUNCTION("""COMPUTED_VALUE"""),"BELLAVISTA")</f>
        <v>BELLAVISTA</v>
      </c>
      <c r="G1814" s="25" t="str">
        <f ca="1">IFERROR(__xludf.DUMMYFUNCTION("""COMPUTED_VALUE"""),"ALTO BIAVO")</f>
        <v>ALTO BIAVO</v>
      </c>
      <c r="H1814" s="25" t="str">
        <f ca="1">IFERROR(__xludf.DUMMYFUNCTION("""COMPUTED_VALUE"""),"RURAL")</f>
        <v>RURAL</v>
      </c>
      <c r="I1814" s="25" t="str">
        <f ca="1">IFERROR(__xludf.DUMMYFUNCTION("""COMPUTED_VALUE"""),"Prioridad 5")</f>
        <v>Prioridad 5</v>
      </c>
      <c r="J1814" s="42" t="s">
        <v>260</v>
      </c>
    </row>
    <row r="1815" spans="2:10">
      <c r="B1815" s="25" t="str">
        <f ca="1">IFERROR(__xludf.DUMMYFUNCTION("""COMPUTED_VALUE"""),"MUNICIPALIDAD DISTRITAL")</f>
        <v>MUNICIPALIDAD DISTRITAL</v>
      </c>
      <c r="C1815" s="25" t="str">
        <f ca="1">IFERROR(__xludf.DUMMYFUNCTION("""COMPUTED_VALUE"""),"MUNICIPALIDAD DISTRITAL DE BAJO BIAVO")</f>
        <v>MUNICIPALIDAD DISTRITAL DE BAJO BIAVO</v>
      </c>
      <c r="D1815" s="25" t="str">
        <f ca="1">IFERROR(__xludf.DUMMYFUNCTION("""COMPUTED_VALUE"""),"SAN MARTÍN")</f>
        <v>SAN MARTÍN</v>
      </c>
      <c r="E1815" s="25" t="str">
        <f ca="1">IFERROR(__xludf.DUMMYFUNCTION("""COMPUTED_VALUE"""),"SAN MARTÍN")</f>
        <v>SAN MARTÍN</v>
      </c>
      <c r="F1815" s="25" t="str">
        <f ca="1">IFERROR(__xludf.DUMMYFUNCTION("""COMPUTED_VALUE"""),"BELLAVISTA")</f>
        <v>BELLAVISTA</v>
      </c>
      <c r="G1815" s="25" t="str">
        <f ca="1">IFERROR(__xludf.DUMMYFUNCTION("""COMPUTED_VALUE"""),"BAJO BIAVO")</f>
        <v>BAJO BIAVO</v>
      </c>
      <c r="H1815" s="25" t="str">
        <f ca="1">IFERROR(__xludf.DUMMYFUNCTION("""COMPUTED_VALUE"""),"RURAL")</f>
        <v>RURAL</v>
      </c>
      <c r="I1815" s="25" t="str">
        <f ca="1">IFERROR(__xludf.DUMMYFUNCTION("""COMPUTED_VALUE"""),"Prioridad 5")</f>
        <v>Prioridad 5</v>
      </c>
      <c r="J1815" s="42" t="s">
        <v>260</v>
      </c>
    </row>
    <row r="1816" spans="2:10">
      <c r="B1816" s="25" t="str">
        <f ca="1">IFERROR(__xludf.DUMMYFUNCTION("""COMPUTED_VALUE"""),"MUNICIPALIDAD DISTRITAL")</f>
        <v>MUNICIPALIDAD DISTRITAL</v>
      </c>
      <c r="C1816" s="25" t="str">
        <f ca="1">IFERROR(__xludf.DUMMYFUNCTION("""COMPUTED_VALUE"""),"MUNICIPALIDAD DISTRITAL DE HUALLAGA")</f>
        <v>MUNICIPALIDAD DISTRITAL DE HUALLAGA</v>
      </c>
      <c r="D1816" s="25" t="str">
        <f ca="1">IFERROR(__xludf.DUMMYFUNCTION("""COMPUTED_VALUE"""),"SAN MARTÍN")</f>
        <v>SAN MARTÍN</v>
      </c>
      <c r="E1816" s="25" t="str">
        <f ca="1">IFERROR(__xludf.DUMMYFUNCTION("""COMPUTED_VALUE"""),"SAN MARTÍN")</f>
        <v>SAN MARTÍN</v>
      </c>
      <c r="F1816" s="25" t="str">
        <f ca="1">IFERROR(__xludf.DUMMYFUNCTION("""COMPUTED_VALUE"""),"BELLAVISTA")</f>
        <v>BELLAVISTA</v>
      </c>
      <c r="G1816" s="25" t="str">
        <f ca="1">IFERROR(__xludf.DUMMYFUNCTION("""COMPUTED_VALUE"""),"HUALLAGA")</f>
        <v>HUALLAGA</v>
      </c>
      <c r="H1816" s="25" t="str">
        <f ca="1">IFERROR(__xludf.DUMMYFUNCTION("""COMPUTED_VALUE"""),"RURAL")</f>
        <v>RURAL</v>
      </c>
      <c r="I1816" s="25" t="str">
        <f ca="1">IFERROR(__xludf.DUMMYFUNCTION("""COMPUTED_VALUE"""),"Prioridad 5")</f>
        <v>Prioridad 5</v>
      </c>
      <c r="J1816" s="42" t="s">
        <v>260</v>
      </c>
    </row>
    <row r="1817" spans="2:10">
      <c r="B1817" s="25" t="str">
        <f ca="1">IFERROR(__xludf.DUMMYFUNCTION("""COMPUTED_VALUE"""),"MUNICIPALIDAD DISTRITAL")</f>
        <v>MUNICIPALIDAD DISTRITAL</v>
      </c>
      <c r="C1817" s="25" t="str">
        <f ca="1">IFERROR(__xludf.DUMMYFUNCTION("""COMPUTED_VALUE"""),"MUNICIPALIDAD DISTRITAL DE SAN PABLO EN BELLAVISTA")</f>
        <v>MUNICIPALIDAD DISTRITAL DE SAN PABLO EN BELLAVISTA</v>
      </c>
      <c r="D1817" s="25" t="str">
        <f ca="1">IFERROR(__xludf.DUMMYFUNCTION("""COMPUTED_VALUE"""),"SAN MARTÍN")</f>
        <v>SAN MARTÍN</v>
      </c>
      <c r="E1817" s="25" t="str">
        <f ca="1">IFERROR(__xludf.DUMMYFUNCTION("""COMPUTED_VALUE"""),"SAN MARTÍN")</f>
        <v>SAN MARTÍN</v>
      </c>
      <c r="F1817" s="25" t="str">
        <f ca="1">IFERROR(__xludf.DUMMYFUNCTION("""COMPUTED_VALUE"""),"BELLAVISTA")</f>
        <v>BELLAVISTA</v>
      </c>
      <c r="G1817" s="25" t="str">
        <f ca="1">IFERROR(__xludf.DUMMYFUNCTION("""COMPUTED_VALUE"""),"SAN PABLO")</f>
        <v>SAN PABLO</v>
      </c>
      <c r="H1817" s="25" t="str">
        <f ca="1">IFERROR(__xludf.DUMMYFUNCTION("""COMPUTED_VALUE"""),"URBANO")</f>
        <v>URBANO</v>
      </c>
      <c r="I1817" s="25" t="str">
        <f ca="1">IFERROR(__xludf.DUMMYFUNCTION("""COMPUTED_VALUE"""),"Prioridad 2")</f>
        <v>Prioridad 2</v>
      </c>
      <c r="J1817" s="42" t="s">
        <v>260</v>
      </c>
    </row>
    <row r="1818" spans="2:10">
      <c r="B1818" s="25" t="str">
        <f ca="1">IFERROR(__xludf.DUMMYFUNCTION("""COMPUTED_VALUE"""),"MUNICIPALIDAD DISTRITAL")</f>
        <v>MUNICIPALIDAD DISTRITAL</v>
      </c>
      <c r="C1818" s="25" t="str">
        <f ca="1">IFERROR(__xludf.DUMMYFUNCTION("""COMPUTED_VALUE"""),"MUNICIPALIDAD DISTRITAL DE SAN RAFAEL EN BELLAVISTA")</f>
        <v>MUNICIPALIDAD DISTRITAL DE SAN RAFAEL EN BELLAVISTA</v>
      </c>
      <c r="D1818" s="25" t="str">
        <f ca="1">IFERROR(__xludf.DUMMYFUNCTION("""COMPUTED_VALUE"""),"SAN MARTÍN")</f>
        <v>SAN MARTÍN</v>
      </c>
      <c r="E1818" s="25" t="str">
        <f ca="1">IFERROR(__xludf.DUMMYFUNCTION("""COMPUTED_VALUE"""),"SAN MARTÍN")</f>
        <v>SAN MARTÍN</v>
      </c>
      <c r="F1818" s="25" t="str">
        <f ca="1">IFERROR(__xludf.DUMMYFUNCTION("""COMPUTED_VALUE"""),"BELLAVISTA")</f>
        <v>BELLAVISTA</v>
      </c>
      <c r="G1818" s="25" t="str">
        <f ca="1">IFERROR(__xludf.DUMMYFUNCTION("""COMPUTED_VALUE"""),"SAN RAFAEL")</f>
        <v>SAN RAFAEL</v>
      </c>
      <c r="H1818" s="25" t="str">
        <f ca="1">IFERROR(__xludf.DUMMYFUNCTION("""COMPUTED_VALUE"""),"URBANO")</f>
        <v>URBANO</v>
      </c>
      <c r="I1818" s="25" t="str">
        <f ca="1">IFERROR(__xludf.DUMMYFUNCTION("""COMPUTED_VALUE"""),"Prioridad 2")</f>
        <v>Prioridad 2</v>
      </c>
      <c r="J1818" s="42" t="s">
        <v>260</v>
      </c>
    </row>
    <row r="1819" spans="2:10">
      <c r="B1819" s="25" t="str">
        <f ca="1">IFERROR(__xludf.DUMMYFUNCTION("""COMPUTED_VALUE"""),"MUNICIPALIDAD PROVINCIAL")</f>
        <v>MUNICIPALIDAD PROVINCIAL</v>
      </c>
      <c r="C1819" s="25" t="str">
        <f ca="1">IFERROR(__xludf.DUMMYFUNCTION("""COMPUTED_VALUE"""),"MUNICIPALIDAD PROVINCIAL DE EL DORADO")</f>
        <v>MUNICIPALIDAD PROVINCIAL DE EL DORADO</v>
      </c>
      <c r="D1819" s="25" t="str">
        <f ca="1">IFERROR(__xludf.DUMMYFUNCTION("""COMPUTED_VALUE"""),"SAN MARTÍN")</f>
        <v>SAN MARTÍN</v>
      </c>
      <c r="E1819" s="25" t="str">
        <f ca="1">IFERROR(__xludf.DUMMYFUNCTION("""COMPUTED_VALUE"""),"SAN MARTÍN")</f>
        <v>SAN MARTÍN</v>
      </c>
      <c r="F1819" s="25" t="str">
        <f ca="1">IFERROR(__xludf.DUMMYFUNCTION("""COMPUTED_VALUE"""),"EL DORADO")</f>
        <v>EL DORADO</v>
      </c>
      <c r="G1819" s="25" t="str">
        <f ca="1">IFERROR(__xludf.DUMMYFUNCTION("""COMPUTED_VALUE"""),"SAN JOSE DE SISA")</f>
        <v>SAN JOSE DE SISA</v>
      </c>
      <c r="H1819" s="25" t="str">
        <f ca="1">IFERROR(__xludf.DUMMYFUNCTION("""COMPUTED_VALUE"""),"URBANO")</f>
        <v>URBANO</v>
      </c>
      <c r="I1819" s="25" t="str">
        <f ca="1">IFERROR(__xludf.DUMMYFUNCTION("""COMPUTED_VALUE"""),"Prioridad 2")</f>
        <v>Prioridad 2</v>
      </c>
      <c r="J1819" s="42" t="s">
        <v>260</v>
      </c>
    </row>
    <row r="1820" spans="2:10">
      <c r="B1820" s="25" t="str">
        <f ca="1">IFERROR(__xludf.DUMMYFUNCTION("""COMPUTED_VALUE"""),"MUNICIPALIDAD DISTRITAL")</f>
        <v>MUNICIPALIDAD DISTRITAL</v>
      </c>
      <c r="C1820" s="25" t="str">
        <f ca="1">IFERROR(__xludf.DUMMYFUNCTION("""COMPUTED_VALUE"""),"MUNICIPALIDAD DISTRITAL DE AGUA BLANCA")</f>
        <v>MUNICIPALIDAD DISTRITAL DE AGUA BLANCA</v>
      </c>
      <c r="D1820" s="25" t="str">
        <f ca="1">IFERROR(__xludf.DUMMYFUNCTION("""COMPUTED_VALUE"""),"SAN MARTÍN")</f>
        <v>SAN MARTÍN</v>
      </c>
      <c r="E1820" s="25" t="str">
        <f ca="1">IFERROR(__xludf.DUMMYFUNCTION("""COMPUTED_VALUE"""),"SAN MARTÍN")</f>
        <v>SAN MARTÍN</v>
      </c>
      <c r="F1820" s="25" t="str">
        <f ca="1">IFERROR(__xludf.DUMMYFUNCTION("""COMPUTED_VALUE"""),"EL DORADO")</f>
        <v>EL DORADO</v>
      </c>
      <c r="G1820" s="25" t="str">
        <f ca="1">IFERROR(__xludf.DUMMYFUNCTION("""COMPUTED_VALUE"""),"AGUA BLANCA")</f>
        <v>AGUA BLANCA</v>
      </c>
      <c r="H1820" s="25" t="str">
        <f ca="1">IFERROR(__xludf.DUMMYFUNCTION("""COMPUTED_VALUE"""),"RURAL")</f>
        <v>RURAL</v>
      </c>
      <c r="I1820" s="25" t="str">
        <f ca="1">IFERROR(__xludf.DUMMYFUNCTION("""COMPUTED_VALUE"""),"Prioridad 5")</f>
        <v>Prioridad 5</v>
      </c>
      <c r="J1820" s="42" t="s">
        <v>260</v>
      </c>
    </row>
    <row r="1821" spans="2:10">
      <c r="B1821" s="25" t="str">
        <f ca="1">IFERROR(__xludf.DUMMYFUNCTION("""COMPUTED_VALUE"""),"MUNICIPALIDAD DISTRITAL")</f>
        <v>MUNICIPALIDAD DISTRITAL</v>
      </c>
      <c r="C1821" s="25" t="str">
        <f ca="1">IFERROR(__xludf.DUMMYFUNCTION("""COMPUTED_VALUE"""),"MUNICIPALIDAD DISTRITAL DE SAN MARTIN")</f>
        <v>MUNICIPALIDAD DISTRITAL DE SAN MARTIN</v>
      </c>
      <c r="D1821" s="25" t="str">
        <f ca="1">IFERROR(__xludf.DUMMYFUNCTION("""COMPUTED_VALUE"""),"SAN MARTÍN")</f>
        <v>SAN MARTÍN</v>
      </c>
      <c r="E1821" s="25" t="str">
        <f ca="1">IFERROR(__xludf.DUMMYFUNCTION("""COMPUTED_VALUE"""),"SAN MARTÍN")</f>
        <v>SAN MARTÍN</v>
      </c>
      <c r="F1821" s="25" t="str">
        <f ca="1">IFERROR(__xludf.DUMMYFUNCTION("""COMPUTED_VALUE"""),"EL DORADO")</f>
        <v>EL DORADO</v>
      </c>
      <c r="G1821" s="25" t="str">
        <f ca="1">IFERROR(__xludf.DUMMYFUNCTION("""COMPUTED_VALUE"""),"SAN MARTIN")</f>
        <v>SAN MARTIN</v>
      </c>
      <c r="H1821" s="25" t="str">
        <f ca="1">IFERROR(__xludf.DUMMYFUNCTION("""COMPUTED_VALUE"""),"RURAL")</f>
        <v>RURAL</v>
      </c>
      <c r="I1821" s="25" t="str">
        <f ca="1">IFERROR(__xludf.DUMMYFUNCTION("""COMPUTED_VALUE"""),"Prioridad 5")</f>
        <v>Prioridad 5</v>
      </c>
      <c r="J1821" s="42" t="s">
        <v>260</v>
      </c>
    </row>
    <row r="1822" spans="2:10">
      <c r="B1822" s="25" t="str">
        <f ca="1">IFERROR(__xludf.DUMMYFUNCTION("""COMPUTED_VALUE"""),"MUNICIPALIDAD DISTRITAL")</f>
        <v>MUNICIPALIDAD DISTRITAL</v>
      </c>
      <c r="C1822" s="25" t="str">
        <f ca="1">IFERROR(__xludf.DUMMYFUNCTION("""COMPUTED_VALUE"""),"MUNICIPALIDAD DISTRITAL DE SANTA ROSA EN EL DORADO")</f>
        <v>MUNICIPALIDAD DISTRITAL DE SANTA ROSA EN EL DORADO</v>
      </c>
      <c r="D1822" s="25" t="str">
        <f ca="1">IFERROR(__xludf.DUMMYFUNCTION("""COMPUTED_VALUE"""),"SAN MARTÍN")</f>
        <v>SAN MARTÍN</v>
      </c>
      <c r="E1822" s="25" t="str">
        <f ca="1">IFERROR(__xludf.DUMMYFUNCTION("""COMPUTED_VALUE"""),"SAN MARTÍN")</f>
        <v>SAN MARTÍN</v>
      </c>
      <c r="F1822" s="25" t="str">
        <f ca="1">IFERROR(__xludf.DUMMYFUNCTION("""COMPUTED_VALUE"""),"EL DORADO")</f>
        <v>EL DORADO</v>
      </c>
      <c r="G1822" s="25" t="str">
        <f ca="1">IFERROR(__xludf.DUMMYFUNCTION("""COMPUTED_VALUE"""),"SANTA ROSA")</f>
        <v>SANTA ROSA</v>
      </c>
      <c r="H1822" s="25" t="str">
        <f ca="1">IFERROR(__xludf.DUMMYFUNCTION("""COMPUTED_VALUE"""),"RURAL")</f>
        <v>RURAL</v>
      </c>
      <c r="I1822" s="25" t="str">
        <f ca="1">IFERROR(__xludf.DUMMYFUNCTION("""COMPUTED_VALUE"""),"Prioridad 5")</f>
        <v>Prioridad 5</v>
      </c>
      <c r="J1822" s="42" t="s">
        <v>260</v>
      </c>
    </row>
    <row r="1823" spans="2:10">
      <c r="B1823" s="25" t="str">
        <f ca="1">IFERROR(__xludf.DUMMYFUNCTION("""COMPUTED_VALUE"""),"MUNICIPALIDAD DISTRITAL")</f>
        <v>MUNICIPALIDAD DISTRITAL</v>
      </c>
      <c r="C1823" s="25" t="str">
        <f ca="1">IFERROR(__xludf.DUMMYFUNCTION("""COMPUTED_VALUE"""),"MUNICIPALIDAD DISTRITAL DE SHATOJA")</f>
        <v>MUNICIPALIDAD DISTRITAL DE SHATOJA</v>
      </c>
      <c r="D1823" s="25" t="str">
        <f ca="1">IFERROR(__xludf.DUMMYFUNCTION("""COMPUTED_VALUE"""),"SAN MARTÍN")</f>
        <v>SAN MARTÍN</v>
      </c>
      <c r="E1823" s="25" t="str">
        <f ca="1">IFERROR(__xludf.DUMMYFUNCTION("""COMPUTED_VALUE"""),"SAN MARTÍN")</f>
        <v>SAN MARTÍN</v>
      </c>
      <c r="F1823" s="25" t="str">
        <f ca="1">IFERROR(__xludf.DUMMYFUNCTION("""COMPUTED_VALUE"""),"EL DORADO")</f>
        <v>EL DORADO</v>
      </c>
      <c r="G1823" s="25" t="str">
        <f ca="1">IFERROR(__xludf.DUMMYFUNCTION("""COMPUTED_VALUE"""),"SHATOJA")</f>
        <v>SHATOJA</v>
      </c>
      <c r="H1823" s="25" t="str">
        <f ca="1">IFERROR(__xludf.DUMMYFUNCTION("""COMPUTED_VALUE"""),"RURAL")</f>
        <v>RURAL</v>
      </c>
      <c r="I1823" s="25" t="str">
        <f ca="1">IFERROR(__xludf.DUMMYFUNCTION("""COMPUTED_VALUE"""),"Prioridad 5")</f>
        <v>Prioridad 5</v>
      </c>
      <c r="J1823" s="42" t="s">
        <v>260</v>
      </c>
    </row>
    <row r="1824" spans="2:10">
      <c r="B1824" s="25" t="str">
        <f ca="1">IFERROR(__xludf.DUMMYFUNCTION("""COMPUTED_VALUE"""),"MUNICIPALIDAD PROVINCIAL")</f>
        <v>MUNICIPALIDAD PROVINCIAL</v>
      </c>
      <c r="C1824" s="25" t="str">
        <f ca="1">IFERROR(__xludf.DUMMYFUNCTION("""COMPUTED_VALUE"""),"MUNICIPALIDAD PROVINCIAL DE HUALLAGA")</f>
        <v>MUNICIPALIDAD PROVINCIAL DE HUALLAGA</v>
      </c>
      <c r="D1824" s="25" t="str">
        <f ca="1">IFERROR(__xludf.DUMMYFUNCTION("""COMPUTED_VALUE"""),"SAN MARTÍN")</f>
        <v>SAN MARTÍN</v>
      </c>
      <c r="E1824" s="25" t="str">
        <f ca="1">IFERROR(__xludf.DUMMYFUNCTION("""COMPUTED_VALUE"""),"SAN MARTÍN")</f>
        <v>SAN MARTÍN</v>
      </c>
      <c r="F1824" s="25" t="str">
        <f ca="1">IFERROR(__xludf.DUMMYFUNCTION("""COMPUTED_VALUE"""),"HUALLAGA")</f>
        <v>HUALLAGA</v>
      </c>
      <c r="G1824" s="25" t="str">
        <f ca="1">IFERROR(__xludf.DUMMYFUNCTION("""COMPUTED_VALUE"""),"SAPOSOA")</f>
        <v>SAPOSOA</v>
      </c>
      <c r="H1824" s="25" t="str">
        <f ca="1">IFERROR(__xludf.DUMMYFUNCTION("""COMPUTED_VALUE"""),"URBANO")</f>
        <v>URBANO</v>
      </c>
      <c r="I1824" s="25" t="str">
        <f ca="1">IFERROR(__xludf.DUMMYFUNCTION("""COMPUTED_VALUE"""),"Prioridad 2")</f>
        <v>Prioridad 2</v>
      </c>
      <c r="J1824" s="42" t="s">
        <v>260</v>
      </c>
    </row>
    <row r="1825" spans="2:10">
      <c r="B1825" s="25" t="str">
        <f ca="1">IFERROR(__xludf.DUMMYFUNCTION("""COMPUTED_VALUE"""),"MUNICIPALIDAD DISTRITAL")</f>
        <v>MUNICIPALIDAD DISTRITAL</v>
      </c>
      <c r="C1825" s="25" t="str">
        <f ca="1">IFERROR(__xludf.DUMMYFUNCTION("""COMPUTED_VALUE"""),"MUNICIPALIDAD DISTRITAL DE ALTO SAPOSOA")</f>
        <v>MUNICIPALIDAD DISTRITAL DE ALTO SAPOSOA</v>
      </c>
      <c r="D1825" s="25" t="str">
        <f ca="1">IFERROR(__xludf.DUMMYFUNCTION("""COMPUTED_VALUE"""),"SAN MARTÍN")</f>
        <v>SAN MARTÍN</v>
      </c>
      <c r="E1825" s="25" t="str">
        <f ca="1">IFERROR(__xludf.DUMMYFUNCTION("""COMPUTED_VALUE"""),"SAN MARTÍN")</f>
        <v>SAN MARTÍN</v>
      </c>
      <c r="F1825" s="25" t="str">
        <f ca="1">IFERROR(__xludf.DUMMYFUNCTION("""COMPUTED_VALUE"""),"HUALLAGA")</f>
        <v>HUALLAGA</v>
      </c>
      <c r="G1825" s="25" t="str">
        <f ca="1">IFERROR(__xludf.DUMMYFUNCTION("""COMPUTED_VALUE"""),"ALTO SAPOSOA")</f>
        <v>ALTO SAPOSOA</v>
      </c>
      <c r="H1825" s="25" t="str">
        <f ca="1">IFERROR(__xludf.DUMMYFUNCTION("""COMPUTED_VALUE"""),"URBANO")</f>
        <v>URBANO</v>
      </c>
      <c r="I1825" s="25" t="str">
        <f ca="1">IFERROR(__xludf.DUMMYFUNCTION("""COMPUTED_VALUE"""),"Prioridad 5")</f>
        <v>Prioridad 5</v>
      </c>
      <c r="J1825" s="42" t="s">
        <v>260</v>
      </c>
    </row>
    <row r="1826" spans="2:10">
      <c r="B1826" s="25" t="str">
        <f ca="1">IFERROR(__xludf.DUMMYFUNCTION("""COMPUTED_VALUE"""),"MUNICIPALIDAD DISTRITAL")</f>
        <v>MUNICIPALIDAD DISTRITAL</v>
      </c>
      <c r="C1826" s="25" t="str">
        <f ca="1">IFERROR(__xludf.DUMMYFUNCTION("""COMPUTED_VALUE"""),"MUNICIPALIDAD DISTRITAL DE EL ESLABON")</f>
        <v>MUNICIPALIDAD DISTRITAL DE EL ESLABON</v>
      </c>
      <c r="D1826" s="25" t="str">
        <f ca="1">IFERROR(__xludf.DUMMYFUNCTION("""COMPUTED_VALUE"""),"SAN MARTÍN")</f>
        <v>SAN MARTÍN</v>
      </c>
      <c r="E1826" s="25" t="str">
        <f ca="1">IFERROR(__xludf.DUMMYFUNCTION("""COMPUTED_VALUE"""),"SAN MARTÍN")</f>
        <v>SAN MARTÍN</v>
      </c>
      <c r="F1826" s="25" t="str">
        <f ca="1">IFERROR(__xludf.DUMMYFUNCTION("""COMPUTED_VALUE"""),"HUALLAGA")</f>
        <v>HUALLAGA</v>
      </c>
      <c r="G1826" s="25" t="str">
        <f ca="1">IFERROR(__xludf.DUMMYFUNCTION("""COMPUTED_VALUE"""),"EL ESLABON")</f>
        <v>EL ESLABON</v>
      </c>
      <c r="H1826" s="25" t="str">
        <f ca="1">IFERROR(__xludf.DUMMYFUNCTION("""COMPUTED_VALUE"""),"RURAL")</f>
        <v>RURAL</v>
      </c>
      <c r="I1826" s="25" t="str">
        <f ca="1">IFERROR(__xludf.DUMMYFUNCTION("""COMPUTED_VALUE"""),"Prioridad 5")</f>
        <v>Prioridad 5</v>
      </c>
      <c r="J1826" s="42" t="s">
        <v>260</v>
      </c>
    </row>
    <row r="1827" spans="2:10">
      <c r="B1827" s="25" t="str">
        <f ca="1">IFERROR(__xludf.DUMMYFUNCTION("""COMPUTED_VALUE"""),"MUNICIPALIDAD DISTRITAL")</f>
        <v>MUNICIPALIDAD DISTRITAL</v>
      </c>
      <c r="C1827" s="25" t="str">
        <f ca="1">IFERROR(__xludf.DUMMYFUNCTION("""COMPUTED_VALUE"""),"MUNICIPALIDAD DISTRITAL DE PISCOYACU")</f>
        <v>MUNICIPALIDAD DISTRITAL DE PISCOYACU</v>
      </c>
      <c r="D1827" s="25" t="str">
        <f ca="1">IFERROR(__xludf.DUMMYFUNCTION("""COMPUTED_VALUE"""),"SAN MARTÍN")</f>
        <v>SAN MARTÍN</v>
      </c>
      <c r="E1827" s="25" t="str">
        <f ca="1">IFERROR(__xludf.DUMMYFUNCTION("""COMPUTED_VALUE"""),"SAN MARTÍN")</f>
        <v>SAN MARTÍN</v>
      </c>
      <c r="F1827" s="25" t="str">
        <f ca="1">IFERROR(__xludf.DUMMYFUNCTION("""COMPUTED_VALUE"""),"HUALLAGA")</f>
        <v>HUALLAGA</v>
      </c>
      <c r="G1827" s="25" t="str">
        <f ca="1">IFERROR(__xludf.DUMMYFUNCTION("""COMPUTED_VALUE"""),"PISCOYACU")</f>
        <v>PISCOYACU</v>
      </c>
      <c r="H1827" s="25" t="str">
        <f ca="1">IFERROR(__xludf.DUMMYFUNCTION("""COMPUTED_VALUE"""),"RURAL")</f>
        <v>RURAL</v>
      </c>
      <c r="I1827" s="25" t="str">
        <f ca="1">IFERROR(__xludf.DUMMYFUNCTION("""COMPUTED_VALUE"""),"Prioridad 3")</f>
        <v>Prioridad 3</v>
      </c>
      <c r="J1827" s="42" t="s">
        <v>260</v>
      </c>
    </row>
    <row r="1828" spans="2:10">
      <c r="B1828" s="25" t="str">
        <f ca="1">IFERROR(__xludf.DUMMYFUNCTION("""COMPUTED_VALUE"""),"MUNICIPALIDAD DISTRITAL")</f>
        <v>MUNICIPALIDAD DISTRITAL</v>
      </c>
      <c r="C1828" s="25" t="str">
        <f ca="1">IFERROR(__xludf.DUMMYFUNCTION("""COMPUTED_VALUE"""),"MUNICIPALIDAD DISTRITAL DE SACANCHE")</f>
        <v>MUNICIPALIDAD DISTRITAL DE SACANCHE</v>
      </c>
      <c r="D1828" s="25" t="str">
        <f ca="1">IFERROR(__xludf.DUMMYFUNCTION("""COMPUTED_VALUE"""),"SAN MARTÍN")</f>
        <v>SAN MARTÍN</v>
      </c>
      <c r="E1828" s="25" t="str">
        <f ca="1">IFERROR(__xludf.DUMMYFUNCTION("""COMPUTED_VALUE"""),"SAN MARTÍN")</f>
        <v>SAN MARTÍN</v>
      </c>
      <c r="F1828" s="25" t="str">
        <f ca="1">IFERROR(__xludf.DUMMYFUNCTION("""COMPUTED_VALUE"""),"HUALLAGA")</f>
        <v>HUALLAGA</v>
      </c>
      <c r="G1828" s="25" t="str">
        <f ca="1">IFERROR(__xludf.DUMMYFUNCTION("""COMPUTED_VALUE"""),"SACANCHE")</f>
        <v>SACANCHE</v>
      </c>
      <c r="H1828" s="25" t="str">
        <f ca="1">IFERROR(__xludf.DUMMYFUNCTION("""COMPUTED_VALUE"""),"RURAL")</f>
        <v>RURAL</v>
      </c>
      <c r="I1828" s="25" t="str">
        <f ca="1">IFERROR(__xludf.DUMMYFUNCTION("""COMPUTED_VALUE"""),"Prioridad 3")</f>
        <v>Prioridad 3</v>
      </c>
      <c r="J1828" s="42" t="s">
        <v>260</v>
      </c>
    </row>
    <row r="1829" spans="2:10">
      <c r="B1829" s="25" t="str">
        <f ca="1">IFERROR(__xludf.DUMMYFUNCTION("""COMPUTED_VALUE"""),"MUNICIPALIDAD DISTRITAL")</f>
        <v>MUNICIPALIDAD DISTRITAL</v>
      </c>
      <c r="C1829" s="25" t="str">
        <f ca="1">IFERROR(__xludf.DUMMYFUNCTION("""COMPUTED_VALUE"""),"MUNICIPALIDAD DISTRITAL DE TINGO DE SAPOSOA")</f>
        <v>MUNICIPALIDAD DISTRITAL DE TINGO DE SAPOSOA</v>
      </c>
      <c r="D1829" s="25" t="str">
        <f ca="1">IFERROR(__xludf.DUMMYFUNCTION("""COMPUTED_VALUE"""),"SAN MARTÍN")</f>
        <v>SAN MARTÍN</v>
      </c>
      <c r="E1829" s="25" t="str">
        <f ca="1">IFERROR(__xludf.DUMMYFUNCTION("""COMPUTED_VALUE"""),"SAN MARTÍN")</f>
        <v>SAN MARTÍN</v>
      </c>
      <c r="F1829" s="25" t="str">
        <f ca="1">IFERROR(__xludf.DUMMYFUNCTION("""COMPUTED_VALUE"""),"HUALLAGA")</f>
        <v>HUALLAGA</v>
      </c>
      <c r="G1829" s="25" t="str">
        <f ca="1">IFERROR(__xludf.DUMMYFUNCTION("""COMPUTED_VALUE"""),"TINGO DE SAPOSOA")</f>
        <v>TINGO DE SAPOSOA</v>
      </c>
      <c r="H1829" s="25" t="str">
        <f ca="1">IFERROR(__xludf.DUMMYFUNCTION("""COMPUTED_VALUE"""),"RURAL")</f>
        <v>RURAL</v>
      </c>
      <c r="I1829" s="25" t="str">
        <f ca="1">IFERROR(__xludf.DUMMYFUNCTION("""COMPUTED_VALUE"""),"Prioridad 2")</f>
        <v>Prioridad 2</v>
      </c>
      <c r="J1829" s="42" t="s">
        <v>260</v>
      </c>
    </row>
    <row r="1830" spans="2:10">
      <c r="B1830" s="25" t="str">
        <f ca="1">IFERROR(__xludf.DUMMYFUNCTION("""COMPUTED_VALUE"""),"MUNICIPALIDAD PROVINCIAL")</f>
        <v>MUNICIPALIDAD PROVINCIAL</v>
      </c>
      <c r="C1830" s="25" t="str">
        <f ca="1">IFERROR(__xludf.DUMMYFUNCTION("""COMPUTED_VALUE"""),"MUNICIPALIDAD PROVINCIAL DE LAMAS")</f>
        <v>MUNICIPALIDAD PROVINCIAL DE LAMAS</v>
      </c>
      <c r="D1830" s="25" t="str">
        <f ca="1">IFERROR(__xludf.DUMMYFUNCTION("""COMPUTED_VALUE"""),"SAN MARTÍN")</f>
        <v>SAN MARTÍN</v>
      </c>
      <c r="E1830" s="25" t="str">
        <f ca="1">IFERROR(__xludf.DUMMYFUNCTION("""COMPUTED_VALUE"""),"SAN MARTÍN")</f>
        <v>SAN MARTÍN</v>
      </c>
      <c r="F1830" s="25" t="str">
        <f ca="1">IFERROR(__xludf.DUMMYFUNCTION("""COMPUTED_VALUE"""),"LAMAS")</f>
        <v>LAMAS</v>
      </c>
      <c r="G1830" s="25" t="str">
        <f ca="1">IFERROR(__xludf.DUMMYFUNCTION("""COMPUTED_VALUE"""),"LAMAS")</f>
        <v>LAMAS</v>
      </c>
      <c r="H1830" s="25" t="str">
        <f ca="1">IFERROR(__xludf.DUMMYFUNCTION("""COMPUTED_VALUE"""),"URBANO")</f>
        <v>URBANO</v>
      </c>
      <c r="I1830" s="25" t="str">
        <f ca="1">IFERROR(__xludf.DUMMYFUNCTION("""COMPUTED_VALUE"""),"Prioridad 1")</f>
        <v>Prioridad 1</v>
      </c>
      <c r="J1830" s="42" t="s">
        <v>260</v>
      </c>
    </row>
    <row r="1831" spans="2:10">
      <c r="B1831" s="25" t="str">
        <f ca="1">IFERROR(__xludf.DUMMYFUNCTION("""COMPUTED_VALUE"""),"MUNICIPALIDAD DISTRITAL")</f>
        <v>MUNICIPALIDAD DISTRITAL</v>
      </c>
      <c r="C1831" s="25" t="str">
        <f ca="1">IFERROR(__xludf.DUMMYFUNCTION("""COMPUTED_VALUE"""),"MUNICIPALIDAD DISTRITAL DE ALONSO DE ALVARADO")</f>
        <v>MUNICIPALIDAD DISTRITAL DE ALONSO DE ALVARADO</v>
      </c>
      <c r="D1831" s="25" t="str">
        <f ca="1">IFERROR(__xludf.DUMMYFUNCTION("""COMPUTED_VALUE"""),"SAN MARTÍN")</f>
        <v>SAN MARTÍN</v>
      </c>
      <c r="E1831" s="25" t="str">
        <f ca="1">IFERROR(__xludf.DUMMYFUNCTION("""COMPUTED_VALUE"""),"SAN MARTÍN")</f>
        <v>SAN MARTÍN</v>
      </c>
      <c r="F1831" s="25" t="str">
        <f ca="1">IFERROR(__xludf.DUMMYFUNCTION("""COMPUTED_VALUE"""),"LAMAS")</f>
        <v>LAMAS</v>
      </c>
      <c r="G1831" s="25" t="str">
        <f ca="1">IFERROR(__xludf.DUMMYFUNCTION("""COMPUTED_VALUE"""),"ALONSO DE ALVARADO")</f>
        <v>ALONSO DE ALVARADO</v>
      </c>
      <c r="H1831" s="25" t="str">
        <f ca="1">IFERROR(__xludf.DUMMYFUNCTION("""COMPUTED_VALUE"""),"URBANO")</f>
        <v>URBANO</v>
      </c>
      <c r="I1831" s="25" t="str">
        <f ca="1">IFERROR(__xludf.DUMMYFUNCTION("""COMPUTED_VALUE"""),"Prioridad 5")</f>
        <v>Prioridad 5</v>
      </c>
      <c r="J1831" s="42" t="s">
        <v>260</v>
      </c>
    </row>
    <row r="1832" spans="2:10">
      <c r="B1832" s="25" t="str">
        <f ca="1">IFERROR(__xludf.DUMMYFUNCTION("""COMPUTED_VALUE"""),"MUNICIPALIDAD DISTRITAL")</f>
        <v>MUNICIPALIDAD DISTRITAL</v>
      </c>
      <c r="C1832" s="25" t="str">
        <f ca="1">IFERROR(__xludf.DUMMYFUNCTION("""COMPUTED_VALUE"""),"MUNICIPALIDAD DISTRITAL DE BARRANQUITA")</f>
        <v>MUNICIPALIDAD DISTRITAL DE BARRANQUITA</v>
      </c>
      <c r="D1832" s="25" t="str">
        <f ca="1">IFERROR(__xludf.DUMMYFUNCTION("""COMPUTED_VALUE"""),"SAN MARTÍN")</f>
        <v>SAN MARTÍN</v>
      </c>
      <c r="E1832" s="25" t="str">
        <f ca="1">IFERROR(__xludf.DUMMYFUNCTION("""COMPUTED_VALUE"""),"SAN MARTÍN")</f>
        <v>SAN MARTÍN</v>
      </c>
      <c r="F1832" s="25" t="str">
        <f ca="1">IFERROR(__xludf.DUMMYFUNCTION("""COMPUTED_VALUE"""),"LAMAS")</f>
        <v>LAMAS</v>
      </c>
      <c r="G1832" s="25" t="str">
        <f ca="1">IFERROR(__xludf.DUMMYFUNCTION("""COMPUTED_VALUE"""),"BARRANQUITA")</f>
        <v>BARRANQUITA</v>
      </c>
      <c r="H1832" s="25" t="str">
        <f ca="1">IFERROR(__xludf.DUMMYFUNCTION("""COMPUTED_VALUE"""),"URBANO")</f>
        <v>URBANO</v>
      </c>
      <c r="I1832" s="25" t="str">
        <f ca="1">IFERROR(__xludf.DUMMYFUNCTION("""COMPUTED_VALUE"""),"Prioridad 3")</f>
        <v>Prioridad 3</v>
      </c>
      <c r="J1832" s="42" t="s">
        <v>260</v>
      </c>
    </row>
    <row r="1833" spans="2:10">
      <c r="B1833" s="25" t="str">
        <f ca="1">IFERROR(__xludf.DUMMYFUNCTION("""COMPUTED_VALUE"""),"MUNICIPALIDAD DISTRITAL")</f>
        <v>MUNICIPALIDAD DISTRITAL</v>
      </c>
      <c r="C1833" s="25" t="str">
        <f ca="1">IFERROR(__xludf.DUMMYFUNCTION("""COMPUTED_VALUE"""),"MUNICIPALIDAD DISTRITAL DE CAYNARACHI")</f>
        <v>MUNICIPALIDAD DISTRITAL DE CAYNARACHI</v>
      </c>
      <c r="D1833" s="25" t="str">
        <f ca="1">IFERROR(__xludf.DUMMYFUNCTION("""COMPUTED_VALUE"""),"SAN MARTÍN")</f>
        <v>SAN MARTÍN</v>
      </c>
      <c r="E1833" s="25" t="str">
        <f ca="1">IFERROR(__xludf.DUMMYFUNCTION("""COMPUTED_VALUE"""),"SAN MARTÍN")</f>
        <v>SAN MARTÍN</v>
      </c>
      <c r="F1833" s="25" t="str">
        <f ca="1">IFERROR(__xludf.DUMMYFUNCTION("""COMPUTED_VALUE"""),"LAMAS")</f>
        <v>LAMAS</v>
      </c>
      <c r="G1833" s="25" t="str">
        <f ca="1">IFERROR(__xludf.DUMMYFUNCTION("""COMPUTED_VALUE"""),"CAYNARACHI")</f>
        <v>CAYNARACHI</v>
      </c>
      <c r="H1833" s="25" t="str">
        <f ca="1">IFERROR(__xludf.DUMMYFUNCTION("""COMPUTED_VALUE"""),"URBANO")</f>
        <v>URBANO</v>
      </c>
      <c r="I1833" s="25" t="str">
        <f ca="1">IFERROR(__xludf.DUMMYFUNCTION("""COMPUTED_VALUE"""),"Prioridad 2")</f>
        <v>Prioridad 2</v>
      </c>
      <c r="J1833" s="42" t="s">
        <v>260</v>
      </c>
    </row>
    <row r="1834" spans="2:10">
      <c r="B1834" s="25" t="str">
        <f ca="1">IFERROR(__xludf.DUMMYFUNCTION("""COMPUTED_VALUE"""),"MUNICIPALIDAD DISTRITAL")</f>
        <v>MUNICIPALIDAD DISTRITAL</v>
      </c>
      <c r="C1834" s="25" t="str">
        <f ca="1">IFERROR(__xludf.DUMMYFUNCTION("""COMPUTED_VALUE"""),"MUNICIPALIDAD DISTRITAL DE CUÑUMBUQUI")</f>
        <v>MUNICIPALIDAD DISTRITAL DE CUÑUMBUQUI</v>
      </c>
      <c r="D1834" s="25" t="str">
        <f ca="1">IFERROR(__xludf.DUMMYFUNCTION("""COMPUTED_VALUE"""),"SAN MARTÍN")</f>
        <v>SAN MARTÍN</v>
      </c>
      <c r="E1834" s="25" t="str">
        <f ca="1">IFERROR(__xludf.DUMMYFUNCTION("""COMPUTED_VALUE"""),"SAN MARTÍN")</f>
        <v>SAN MARTÍN</v>
      </c>
      <c r="F1834" s="25" t="str">
        <f ca="1">IFERROR(__xludf.DUMMYFUNCTION("""COMPUTED_VALUE"""),"LAMAS")</f>
        <v>LAMAS</v>
      </c>
      <c r="G1834" s="25" t="str">
        <f ca="1">IFERROR(__xludf.DUMMYFUNCTION("""COMPUTED_VALUE"""),"CUÑUMBUQUI")</f>
        <v>CUÑUMBUQUI</v>
      </c>
      <c r="H1834" s="25" t="str">
        <f ca="1">IFERROR(__xludf.DUMMYFUNCTION("""COMPUTED_VALUE"""),"URBANO")</f>
        <v>URBANO</v>
      </c>
      <c r="I1834" s="25" t="str">
        <f ca="1">IFERROR(__xludf.DUMMYFUNCTION("""COMPUTED_VALUE"""),"Prioridad 3")</f>
        <v>Prioridad 3</v>
      </c>
      <c r="J1834" s="42" t="s">
        <v>260</v>
      </c>
    </row>
    <row r="1835" spans="2:10">
      <c r="B1835" s="25" t="str">
        <f ca="1">IFERROR(__xludf.DUMMYFUNCTION("""COMPUTED_VALUE"""),"MUNICIPALIDAD DISTRITAL")</f>
        <v>MUNICIPALIDAD DISTRITAL</v>
      </c>
      <c r="C1835" s="25" t="str">
        <f ca="1">IFERROR(__xludf.DUMMYFUNCTION("""COMPUTED_VALUE"""),"MUNICIPALIDAD DISTRITAL DE PINTO RECODO")</f>
        <v>MUNICIPALIDAD DISTRITAL DE PINTO RECODO</v>
      </c>
      <c r="D1835" s="25" t="str">
        <f ca="1">IFERROR(__xludf.DUMMYFUNCTION("""COMPUTED_VALUE"""),"SAN MARTÍN")</f>
        <v>SAN MARTÍN</v>
      </c>
      <c r="E1835" s="25" t="str">
        <f ca="1">IFERROR(__xludf.DUMMYFUNCTION("""COMPUTED_VALUE"""),"SAN MARTÍN")</f>
        <v>SAN MARTÍN</v>
      </c>
      <c r="F1835" s="25" t="str">
        <f ca="1">IFERROR(__xludf.DUMMYFUNCTION("""COMPUTED_VALUE"""),"LAMAS")</f>
        <v>LAMAS</v>
      </c>
      <c r="G1835" s="25" t="str">
        <f ca="1">IFERROR(__xludf.DUMMYFUNCTION("""COMPUTED_VALUE"""),"PINTO RECODO")</f>
        <v>PINTO RECODO</v>
      </c>
      <c r="H1835" s="25" t="str">
        <f ca="1">IFERROR(__xludf.DUMMYFUNCTION("""COMPUTED_VALUE"""),"RURAL")</f>
        <v>RURAL</v>
      </c>
      <c r="I1835" s="25" t="str">
        <f ca="1">IFERROR(__xludf.DUMMYFUNCTION("""COMPUTED_VALUE"""),"Prioridad 5")</f>
        <v>Prioridad 5</v>
      </c>
      <c r="J1835" s="42" t="s">
        <v>260</v>
      </c>
    </row>
    <row r="1836" spans="2:10">
      <c r="B1836" s="25" t="str">
        <f ca="1">IFERROR(__xludf.DUMMYFUNCTION("""COMPUTED_VALUE"""),"MUNICIPALIDAD DISTRITAL")</f>
        <v>MUNICIPALIDAD DISTRITAL</v>
      </c>
      <c r="C1836" s="25" t="str">
        <f ca="1">IFERROR(__xludf.DUMMYFUNCTION("""COMPUTED_VALUE"""),"MUNICIPALIDAD DISTRITAL DE RUMISAPA")</f>
        <v>MUNICIPALIDAD DISTRITAL DE RUMISAPA</v>
      </c>
      <c r="D1836" s="25" t="str">
        <f ca="1">IFERROR(__xludf.DUMMYFUNCTION("""COMPUTED_VALUE"""),"SAN MARTÍN")</f>
        <v>SAN MARTÍN</v>
      </c>
      <c r="E1836" s="25" t="str">
        <f ca="1">IFERROR(__xludf.DUMMYFUNCTION("""COMPUTED_VALUE"""),"SAN MARTÍN")</f>
        <v>SAN MARTÍN</v>
      </c>
      <c r="F1836" s="25" t="str">
        <f ca="1">IFERROR(__xludf.DUMMYFUNCTION("""COMPUTED_VALUE"""),"LAMAS")</f>
        <v>LAMAS</v>
      </c>
      <c r="G1836" s="25" t="str">
        <f ca="1">IFERROR(__xludf.DUMMYFUNCTION("""COMPUTED_VALUE"""),"RUMISAPA")</f>
        <v>RUMISAPA</v>
      </c>
      <c r="H1836" s="25" t="str">
        <f ca="1">IFERROR(__xludf.DUMMYFUNCTION("""COMPUTED_VALUE"""),"RURAL")</f>
        <v>RURAL</v>
      </c>
      <c r="I1836" s="25" t="str">
        <f ca="1">IFERROR(__xludf.DUMMYFUNCTION("""COMPUTED_VALUE"""),"Prioridad 3")</f>
        <v>Prioridad 3</v>
      </c>
      <c r="J1836" s="42" t="s">
        <v>260</v>
      </c>
    </row>
    <row r="1837" spans="2:10">
      <c r="B1837" s="25" t="str">
        <f ca="1">IFERROR(__xludf.DUMMYFUNCTION("""COMPUTED_VALUE"""),"MUNICIPALIDAD DISTRITAL")</f>
        <v>MUNICIPALIDAD DISTRITAL</v>
      </c>
      <c r="C1837" s="25" t="str">
        <f ca="1">IFERROR(__xludf.DUMMYFUNCTION("""COMPUTED_VALUE"""),"MUNICIPALIDAD DISTRITAL DE SAN ROQUE DE CUMBAZA")</f>
        <v>MUNICIPALIDAD DISTRITAL DE SAN ROQUE DE CUMBAZA</v>
      </c>
      <c r="D1837" s="25" t="str">
        <f ca="1">IFERROR(__xludf.DUMMYFUNCTION("""COMPUTED_VALUE"""),"SAN MARTÍN")</f>
        <v>SAN MARTÍN</v>
      </c>
      <c r="E1837" s="25" t="str">
        <f ca="1">IFERROR(__xludf.DUMMYFUNCTION("""COMPUTED_VALUE"""),"SAN MARTÍN")</f>
        <v>SAN MARTÍN</v>
      </c>
      <c r="F1837" s="25" t="str">
        <f ca="1">IFERROR(__xludf.DUMMYFUNCTION("""COMPUTED_VALUE"""),"LAMAS")</f>
        <v>LAMAS</v>
      </c>
      <c r="G1837" s="25" t="str">
        <f ca="1">IFERROR(__xludf.DUMMYFUNCTION("""COMPUTED_VALUE"""),"SAN ROQUE DE CUMBAZA")</f>
        <v>SAN ROQUE DE CUMBAZA</v>
      </c>
      <c r="H1837" s="25" t="str">
        <f ca="1">IFERROR(__xludf.DUMMYFUNCTION("""COMPUTED_VALUE"""),"RURAL")</f>
        <v>RURAL</v>
      </c>
      <c r="I1837" s="25" t="str">
        <f ca="1">IFERROR(__xludf.DUMMYFUNCTION("""COMPUTED_VALUE"""),"Prioridad 3")</f>
        <v>Prioridad 3</v>
      </c>
      <c r="J1837" s="42" t="s">
        <v>260</v>
      </c>
    </row>
    <row r="1838" spans="2:10">
      <c r="B1838" s="25" t="str">
        <f ca="1">IFERROR(__xludf.DUMMYFUNCTION("""COMPUTED_VALUE"""),"MUNICIPALIDAD DISTRITAL")</f>
        <v>MUNICIPALIDAD DISTRITAL</v>
      </c>
      <c r="C1838" s="25" t="str">
        <f ca="1">IFERROR(__xludf.DUMMYFUNCTION("""COMPUTED_VALUE"""),"MUNICIPALIDAD DISTRITAL DE SHANAO")</f>
        <v>MUNICIPALIDAD DISTRITAL DE SHANAO</v>
      </c>
      <c r="D1838" s="25" t="str">
        <f ca="1">IFERROR(__xludf.DUMMYFUNCTION("""COMPUTED_VALUE"""),"SAN MARTÍN")</f>
        <v>SAN MARTÍN</v>
      </c>
      <c r="E1838" s="25" t="str">
        <f ca="1">IFERROR(__xludf.DUMMYFUNCTION("""COMPUTED_VALUE"""),"SAN MARTÍN")</f>
        <v>SAN MARTÍN</v>
      </c>
      <c r="F1838" s="25" t="str">
        <f ca="1">IFERROR(__xludf.DUMMYFUNCTION("""COMPUTED_VALUE"""),"LAMAS")</f>
        <v>LAMAS</v>
      </c>
      <c r="G1838" s="25" t="str">
        <f ca="1">IFERROR(__xludf.DUMMYFUNCTION("""COMPUTED_VALUE"""),"SHANAO")</f>
        <v>SHANAO</v>
      </c>
      <c r="H1838" s="25" t="str">
        <f ca="1">IFERROR(__xludf.DUMMYFUNCTION("""COMPUTED_VALUE"""),"RURAL")</f>
        <v>RURAL</v>
      </c>
      <c r="I1838" s="25" t="str">
        <f ca="1">IFERROR(__xludf.DUMMYFUNCTION("""COMPUTED_VALUE"""),"Prioridad 3")</f>
        <v>Prioridad 3</v>
      </c>
      <c r="J1838" s="42" t="s">
        <v>260</v>
      </c>
    </row>
    <row r="1839" spans="2:10">
      <c r="B1839" s="25" t="str">
        <f ca="1">IFERROR(__xludf.DUMMYFUNCTION("""COMPUTED_VALUE"""),"MUNICIPALIDAD DISTRITAL")</f>
        <v>MUNICIPALIDAD DISTRITAL</v>
      </c>
      <c r="C1839" s="25" t="str">
        <f ca="1">IFERROR(__xludf.DUMMYFUNCTION("""COMPUTED_VALUE"""),"MUNICIPALIDAD DISTRITAL DE TABALOSOS")</f>
        <v>MUNICIPALIDAD DISTRITAL DE TABALOSOS</v>
      </c>
      <c r="D1839" s="25" t="str">
        <f ca="1">IFERROR(__xludf.DUMMYFUNCTION("""COMPUTED_VALUE"""),"SAN MARTÍN")</f>
        <v>SAN MARTÍN</v>
      </c>
      <c r="E1839" s="25" t="str">
        <f ca="1">IFERROR(__xludf.DUMMYFUNCTION("""COMPUTED_VALUE"""),"SAN MARTÍN")</f>
        <v>SAN MARTÍN</v>
      </c>
      <c r="F1839" s="25" t="str">
        <f ca="1">IFERROR(__xludf.DUMMYFUNCTION("""COMPUTED_VALUE"""),"LAMAS")</f>
        <v>LAMAS</v>
      </c>
      <c r="G1839" s="25" t="str">
        <f ca="1">IFERROR(__xludf.DUMMYFUNCTION("""COMPUTED_VALUE"""),"TABALOSOS")</f>
        <v>TABALOSOS</v>
      </c>
      <c r="H1839" s="25" t="str">
        <f ca="1">IFERROR(__xludf.DUMMYFUNCTION("""COMPUTED_VALUE"""),"URBANO")</f>
        <v>URBANO</v>
      </c>
      <c r="I1839" s="25" t="str">
        <f ca="1">IFERROR(__xludf.DUMMYFUNCTION("""COMPUTED_VALUE"""),"Prioridad 3")</f>
        <v>Prioridad 3</v>
      </c>
      <c r="J1839" s="42" t="s">
        <v>260</v>
      </c>
    </row>
    <row r="1840" spans="2:10">
      <c r="B1840" s="25" t="str">
        <f ca="1">IFERROR(__xludf.DUMMYFUNCTION("""COMPUTED_VALUE"""),"COLEGIO PROFESIONAL")</f>
        <v>COLEGIO PROFESIONAL</v>
      </c>
      <c r="C1840" s="25" t="str">
        <f ca="1">IFERROR(__xludf.DUMMYFUNCTION("""COMPUTED_VALUE"""),"COLEGIO DE ABOGADOS DE AREQUIPA")</f>
        <v>COLEGIO DE ABOGADOS DE AREQUIPA</v>
      </c>
      <c r="D1840" s="25" t="str">
        <f ca="1">IFERROR(__xludf.DUMMYFUNCTION("""COMPUTED_VALUE"""),"AREQUIPA")</f>
        <v>AREQUIPA</v>
      </c>
      <c r="E1840" s="25" t="str">
        <f ca="1">IFERROR(__xludf.DUMMYFUNCTION("""COMPUTED_VALUE"""),"AREQUIPA")</f>
        <v>AREQUIPA</v>
      </c>
      <c r="F1840" s="25" t="str">
        <f ca="1">IFERROR(__xludf.DUMMYFUNCTION("""COMPUTED_VALUE"""),"AREQUIPA")</f>
        <v>AREQUIPA</v>
      </c>
      <c r="G1840" s="25" t="str">
        <f ca="1">IFERROR(__xludf.DUMMYFUNCTION("""COMPUTED_VALUE"""),"AREQUIPA")</f>
        <v>AREQUIPA</v>
      </c>
      <c r="H1840" s="25"/>
      <c r="I1840" s="25" t="str">
        <f ca="1">IFERROR(__xludf.DUMMYFUNCTION("""COMPUTED_VALUE"""),"Prioridad 2")</f>
        <v>Prioridad 2</v>
      </c>
      <c r="J1840" s="43" t="s">
        <v>263</v>
      </c>
    </row>
    <row r="1841" spans="2:10">
      <c r="B1841" s="25" t="str">
        <f ca="1">IFERROR(__xludf.DUMMYFUNCTION("""COMPUTED_VALUE"""),"MUNICIPALIDAD DISTRITAL")</f>
        <v>MUNICIPALIDAD DISTRITAL</v>
      </c>
      <c r="C1841" s="25" t="str">
        <f ca="1">IFERROR(__xludf.DUMMYFUNCTION("""COMPUTED_VALUE"""),"MUNICIPALIDAD DISTRITAL DE ZAPATERO")</f>
        <v>MUNICIPALIDAD DISTRITAL DE ZAPATERO</v>
      </c>
      <c r="D1841" s="25" t="str">
        <f ca="1">IFERROR(__xludf.DUMMYFUNCTION("""COMPUTED_VALUE"""),"SAN MARTÍN")</f>
        <v>SAN MARTÍN</v>
      </c>
      <c r="E1841" s="25" t="str">
        <f ca="1">IFERROR(__xludf.DUMMYFUNCTION("""COMPUTED_VALUE"""),"SAN MARTÍN")</f>
        <v>SAN MARTÍN</v>
      </c>
      <c r="F1841" s="25" t="str">
        <f ca="1">IFERROR(__xludf.DUMMYFUNCTION("""COMPUTED_VALUE"""),"LAMAS")</f>
        <v>LAMAS</v>
      </c>
      <c r="G1841" s="25" t="str">
        <f ca="1">IFERROR(__xludf.DUMMYFUNCTION("""COMPUTED_VALUE"""),"ZAPATERO")</f>
        <v>ZAPATERO</v>
      </c>
      <c r="H1841" s="25" t="str">
        <f ca="1">IFERROR(__xludf.DUMMYFUNCTION("""COMPUTED_VALUE"""),"RURAL")</f>
        <v>RURAL</v>
      </c>
      <c r="I1841" s="25" t="str">
        <f ca="1">IFERROR(__xludf.DUMMYFUNCTION("""COMPUTED_VALUE"""),"Prioridad 4")</f>
        <v>Prioridad 4</v>
      </c>
      <c r="J1841" s="43" t="s">
        <v>263</v>
      </c>
    </row>
    <row r="1842" spans="2:10">
      <c r="B1842" s="25" t="str">
        <f ca="1">IFERROR(__xludf.DUMMYFUNCTION("""COMPUTED_VALUE"""),"MUNICIPALIDAD PROVINCIAL")</f>
        <v>MUNICIPALIDAD PROVINCIAL</v>
      </c>
      <c r="C1842" s="25" t="str">
        <f ca="1">IFERROR(__xludf.DUMMYFUNCTION("""COMPUTED_VALUE"""),"MUNICIPALIDAD PROVINCIAL DE MARISCAL CACERES")</f>
        <v>MUNICIPALIDAD PROVINCIAL DE MARISCAL CACERES</v>
      </c>
      <c r="D1842" s="25" t="str">
        <f ca="1">IFERROR(__xludf.DUMMYFUNCTION("""COMPUTED_VALUE"""),"SAN MARTÍN")</f>
        <v>SAN MARTÍN</v>
      </c>
      <c r="E1842" s="25" t="str">
        <f ca="1">IFERROR(__xludf.DUMMYFUNCTION("""COMPUTED_VALUE"""),"SAN MARTÍN")</f>
        <v>SAN MARTÍN</v>
      </c>
      <c r="F1842" s="25" t="str">
        <f ca="1">IFERROR(__xludf.DUMMYFUNCTION("""COMPUTED_VALUE"""),"MARISCAL CACERES")</f>
        <v>MARISCAL CACERES</v>
      </c>
      <c r="G1842" s="25" t="str">
        <f ca="1">IFERROR(__xludf.DUMMYFUNCTION("""COMPUTED_VALUE"""),"JUANJUI")</f>
        <v>JUANJUI</v>
      </c>
      <c r="H1842" s="25" t="str">
        <f ca="1">IFERROR(__xludf.DUMMYFUNCTION("""COMPUTED_VALUE"""),"URBANO")</f>
        <v>URBANO</v>
      </c>
      <c r="I1842" s="25" t="str">
        <f ca="1">IFERROR(__xludf.DUMMYFUNCTION("""COMPUTED_VALUE"""),"Prioridad 1")</f>
        <v>Prioridad 1</v>
      </c>
      <c r="J1842" s="43" t="s">
        <v>263</v>
      </c>
    </row>
    <row r="1843" spans="2:10">
      <c r="B1843" s="25" t="str">
        <f ca="1">IFERROR(__xludf.DUMMYFUNCTION("""COMPUTED_VALUE"""),"MUNICIPALIDAD DISTRITAL")</f>
        <v>MUNICIPALIDAD DISTRITAL</v>
      </c>
      <c r="C1843" s="25" t="str">
        <f ca="1">IFERROR(__xludf.DUMMYFUNCTION("""COMPUTED_VALUE"""),"MUNICIPALIDAD DISTRITAL DE CAMPANILLA")</f>
        <v>MUNICIPALIDAD DISTRITAL DE CAMPANILLA</v>
      </c>
      <c r="D1843" s="25" t="str">
        <f ca="1">IFERROR(__xludf.DUMMYFUNCTION("""COMPUTED_VALUE"""),"SAN MARTÍN")</f>
        <v>SAN MARTÍN</v>
      </c>
      <c r="E1843" s="25" t="str">
        <f ca="1">IFERROR(__xludf.DUMMYFUNCTION("""COMPUTED_VALUE"""),"SAN MARTÍN")</f>
        <v>SAN MARTÍN</v>
      </c>
      <c r="F1843" s="25" t="str">
        <f ca="1">IFERROR(__xludf.DUMMYFUNCTION("""COMPUTED_VALUE"""),"MARISCAL CACERES")</f>
        <v>MARISCAL CACERES</v>
      </c>
      <c r="G1843" s="25" t="str">
        <f ca="1">IFERROR(__xludf.DUMMYFUNCTION("""COMPUTED_VALUE"""),"CAMPANILLA")</f>
        <v>CAMPANILLA</v>
      </c>
      <c r="H1843" s="25" t="str">
        <f ca="1">IFERROR(__xludf.DUMMYFUNCTION("""COMPUTED_VALUE"""),"RURAL")</f>
        <v>RURAL</v>
      </c>
      <c r="I1843" s="25" t="str">
        <f ca="1">IFERROR(__xludf.DUMMYFUNCTION("""COMPUTED_VALUE"""),"Prioridad 3")</f>
        <v>Prioridad 3</v>
      </c>
      <c r="J1843" s="43" t="s">
        <v>263</v>
      </c>
    </row>
    <row r="1844" spans="2:10">
      <c r="B1844" s="25" t="str">
        <f ca="1">IFERROR(__xludf.DUMMYFUNCTION("""COMPUTED_VALUE"""),"MUNICIPALIDAD DISTRITAL")</f>
        <v>MUNICIPALIDAD DISTRITAL</v>
      </c>
      <c r="C1844" s="25" t="str">
        <f ca="1">IFERROR(__xludf.DUMMYFUNCTION("""COMPUTED_VALUE"""),"MUNICIPALIDAD DISTRITAL DE HUICUNGO")</f>
        <v>MUNICIPALIDAD DISTRITAL DE HUICUNGO</v>
      </c>
      <c r="D1844" s="25" t="str">
        <f ca="1">IFERROR(__xludf.DUMMYFUNCTION("""COMPUTED_VALUE"""),"SAN MARTÍN")</f>
        <v>SAN MARTÍN</v>
      </c>
      <c r="E1844" s="25" t="str">
        <f ca="1">IFERROR(__xludf.DUMMYFUNCTION("""COMPUTED_VALUE"""),"SAN MARTÍN")</f>
        <v>SAN MARTÍN</v>
      </c>
      <c r="F1844" s="25" t="str">
        <f ca="1">IFERROR(__xludf.DUMMYFUNCTION("""COMPUTED_VALUE"""),"MARISCAL CACERES")</f>
        <v>MARISCAL CACERES</v>
      </c>
      <c r="G1844" s="25" t="str">
        <f ca="1">IFERROR(__xludf.DUMMYFUNCTION("""COMPUTED_VALUE"""),"HUICUNGO")</f>
        <v>HUICUNGO</v>
      </c>
      <c r="H1844" s="25" t="str">
        <f ca="1">IFERROR(__xludf.DUMMYFUNCTION("""COMPUTED_VALUE"""),"URBANO")</f>
        <v>URBANO</v>
      </c>
      <c r="I1844" s="25" t="str">
        <f ca="1">IFERROR(__xludf.DUMMYFUNCTION("""COMPUTED_VALUE"""),"Prioridad 3")</f>
        <v>Prioridad 3</v>
      </c>
      <c r="J1844" s="43" t="s">
        <v>263</v>
      </c>
    </row>
    <row r="1845" spans="2:10">
      <c r="B1845" s="25" t="str">
        <f ca="1">IFERROR(__xludf.DUMMYFUNCTION("""COMPUTED_VALUE"""),"MUNICIPALIDAD DISTRITAL")</f>
        <v>MUNICIPALIDAD DISTRITAL</v>
      </c>
      <c r="C1845" s="25" t="str">
        <f ca="1">IFERROR(__xludf.DUMMYFUNCTION("""COMPUTED_VALUE"""),"MUNICIPALIDAD DISTRITAL DE PACHIZA")</f>
        <v>MUNICIPALIDAD DISTRITAL DE PACHIZA</v>
      </c>
      <c r="D1845" s="25" t="str">
        <f ca="1">IFERROR(__xludf.DUMMYFUNCTION("""COMPUTED_VALUE"""),"SAN MARTÍN")</f>
        <v>SAN MARTÍN</v>
      </c>
      <c r="E1845" s="25" t="str">
        <f ca="1">IFERROR(__xludf.DUMMYFUNCTION("""COMPUTED_VALUE"""),"SAN MARTÍN")</f>
        <v>SAN MARTÍN</v>
      </c>
      <c r="F1845" s="25" t="str">
        <f ca="1">IFERROR(__xludf.DUMMYFUNCTION("""COMPUTED_VALUE"""),"MARISCAL CACERES")</f>
        <v>MARISCAL CACERES</v>
      </c>
      <c r="G1845" s="25" t="str">
        <f ca="1">IFERROR(__xludf.DUMMYFUNCTION("""COMPUTED_VALUE"""),"PACHIZA")</f>
        <v>PACHIZA</v>
      </c>
      <c r="H1845" s="25" t="str">
        <f ca="1">IFERROR(__xludf.DUMMYFUNCTION("""COMPUTED_VALUE"""),"URBANO")</f>
        <v>URBANO</v>
      </c>
      <c r="I1845" s="25" t="str">
        <f ca="1">IFERROR(__xludf.DUMMYFUNCTION("""COMPUTED_VALUE"""),"Prioridad 5")</f>
        <v>Prioridad 5</v>
      </c>
      <c r="J1845" s="43" t="s">
        <v>263</v>
      </c>
    </row>
    <row r="1846" spans="2:10">
      <c r="B1846" s="25" t="str">
        <f ca="1">IFERROR(__xludf.DUMMYFUNCTION("""COMPUTED_VALUE"""),"MUNICIPALIDAD DISTRITAL")</f>
        <v>MUNICIPALIDAD DISTRITAL</v>
      </c>
      <c r="C1846" s="25" t="str">
        <f ca="1">IFERROR(__xludf.DUMMYFUNCTION("""COMPUTED_VALUE"""),"MUNICIPALIDAD DISTRITAL DE PAJARILLO")</f>
        <v>MUNICIPALIDAD DISTRITAL DE PAJARILLO</v>
      </c>
      <c r="D1846" s="25" t="str">
        <f ca="1">IFERROR(__xludf.DUMMYFUNCTION("""COMPUTED_VALUE"""),"SAN MARTÍN")</f>
        <v>SAN MARTÍN</v>
      </c>
      <c r="E1846" s="25" t="str">
        <f ca="1">IFERROR(__xludf.DUMMYFUNCTION("""COMPUTED_VALUE"""),"SAN MARTÍN")</f>
        <v>SAN MARTÍN</v>
      </c>
      <c r="F1846" s="25" t="str">
        <f ca="1">IFERROR(__xludf.DUMMYFUNCTION("""COMPUTED_VALUE"""),"MARISCAL CACERES")</f>
        <v>MARISCAL CACERES</v>
      </c>
      <c r="G1846" s="25" t="str">
        <f ca="1">IFERROR(__xludf.DUMMYFUNCTION("""COMPUTED_VALUE"""),"PAJARILLO")</f>
        <v>PAJARILLO</v>
      </c>
      <c r="H1846" s="25" t="str">
        <f ca="1">IFERROR(__xludf.DUMMYFUNCTION("""COMPUTED_VALUE"""),"RURAL")</f>
        <v>RURAL</v>
      </c>
      <c r="I1846" s="25" t="str">
        <f ca="1">IFERROR(__xludf.DUMMYFUNCTION("""COMPUTED_VALUE"""),"Prioridad 5")</f>
        <v>Prioridad 5</v>
      </c>
      <c r="J1846" s="43" t="s">
        <v>263</v>
      </c>
    </row>
    <row r="1847" spans="2:10">
      <c r="B1847" s="25" t="str">
        <f ca="1">IFERROR(__xludf.DUMMYFUNCTION("""COMPUTED_VALUE"""),"MUNICIPALIDAD PROVINCIAL")</f>
        <v>MUNICIPALIDAD PROVINCIAL</v>
      </c>
      <c r="C1847" s="25" t="str">
        <f ca="1">IFERROR(__xludf.DUMMYFUNCTION("""COMPUTED_VALUE"""),"MUNICIPALIDAD PROVINCIAL DE MOYOBAMBA")</f>
        <v>MUNICIPALIDAD PROVINCIAL DE MOYOBAMBA</v>
      </c>
      <c r="D1847" s="25" t="str">
        <f ca="1">IFERROR(__xludf.DUMMYFUNCTION("""COMPUTED_VALUE"""),"SAN MARTÍN")</f>
        <v>SAN MARTÍN</v>
      </c>
      <c r="E1847" s="25" t="str">
        <f ca="1">IFERROR(__xludf.DUMMYFUNCTION("""COMPUTED_VALUE"""),"SAN MARTÍN")</f>
        <v>SAN MARTÍN</v>
      </c>
      <c r="F1847" s="25" t="str">
        <f ca="1">IFERROR(__xludf.DUMMYFUNCTION("""COMPUTED_VALUE"""),"MOYOBAMBA")</f>
        <v>MOYOBAMBA</v>
      </c>
      <c r="G1847" s="25" t="str">
        <f ca="1">IFERROR(__xludf.DUMMYFUNCTION("""COMPUTED_VALUE"""),"MOYOBAMBA")</f>
        <v>MOYOBAMBA</v>
      </c>
      <c r="H1847" s="25" t="str">
        <f ca="1">IFERROR(__xludf.DUMMYFUNCTION("""COMPUTED_VALUE"""),"URBANO")</f>
        <v>URBANO</v>
      </c>
      <c r="I1847" s="25" t="str">
        <f ca="1">IFERROR(__xludf.DUMMYFUNCTION("""COMPUTED_VALUE"""),"Prioridad 1")</f>
        <v>Prioridad 1</v>
      </c>
      <c r="J1847" s="43" t="s">
        <v>263</v>
      </c>
    </row>
    <row r="1848" spans="2:10">
      <c r="B1848" s="25" t="str">
        <f ca="1">IFERROR(__xludf.DUMMYFUNCTION("""COMPUTED_VALUE"""),"MUNICIPALIDAD DISTRITAL")</f>
        <v>MUNICIPALIDAD DISTRITAL</v>
      </c>
      <c r="C1848" s="25" t="str">
        <f ca="1">IFERROR(__xludf.DUMMYFUNCTION("""COMPUTED_VALUE"""),"MUNICIPALIDAD DISTRITAL DE CALZADA")</f>
        <v>MUNICIPALIDAD DISTRITAL DE CALZADA</v>
      </c>
      <c r="D1848" s="25" t="str">
        <f ca="1">IFERROR(__xludf.DUMMYFUNCTION("""COMPUTED_VALUE"""),"SAN MARTÍN")</f>
        <v>SAN MARTÍN</v>
      </c>
      <c r="E1848" s="25" t="str">
        <f ca="1">IFERROR(__xludf.DUMMYFUNCTION("""COMPUTED_VALUE"""),"SAN MARTÍN")</f>
        <v>SAN MARTÍN</v>
      </c>
      <c r="F1848" s="25" t="str">
        <f ca="1">IFERROR(__xludf.DUMMYFUNCTION("""COMPUTED_VALUE"""),"MOYOBAMBA")</f>
        <v>MOYOBAMBA</v>
      </c>
      <c r="G1848" s="25" t="str">
        <f ca="1">IFERROR(__xludf.DUMMYFUNCTION("""COMPUTED_VALUE"""),"CALZADA")</f>
        <v>CALZADA</v>
      </c>
      <c r="H1848" s="25" t="str">
        <f ca="1">IFERROR(__xludf.DUMMYFUNCTION("""COMPUTED_VALUE"""),"URBANO")</f>
        <v>URBANO</v>
      </c>
      <c r="I1848" s="25" t="str">
        <f ca="1">IFERROR(__xludf.DUMMYFUNCTION("""COMPUTED_VALUE"""),"Prioridad 2")</f>
        <v>Prioridad 2</v>
      </c>
      <c r="J1848" s="43" t="s">
        <v>263</v>
      </c>
    </row>
    <row r="1849" spans="2:10">
      <c r="B1849" s="25" t="str">
        <f ca="1">IFERROR(__xludf.DUMMYFUNCTION("""COMPUTED_VALUE"""),"MUNICIPALIDAD DISTRITAL")</f>
        <v>MUNICIPALIDAD DISTRITAL</v>
      </c>
      <c r="C1849" s="25" t="str">
        <f ca="1">IFERROR(__xludf.DUMMYFUNCTION("""COMPUTED_VALUE"""),"MUNICIPALIDAD DISTRITAL DE HABANA")</f>
        <v>MUNICIPALIDAD DISTRITAL DE HABANA</v>
      </c>
      <c r="D1849" s="25" t="str">
        <f ca="1">IFERROR(__xludf.DUMMYFUNCTION("""COMPUTED_VALUE"""),"SAN MARTÍN")</f>
        <v>SAN MARTÍN</v>
      </c>
      <c r="E1849" s="25" t="str">
        <f ca="1">IFERROR(__xludf.DUMMYFUNCTION("""COMPUTED_VALUE"""),"SAN MARTÍN")</f>
        <v>SAN MARTÍN</v>
      </c>
      <c r="F1849" s="25" t="str">
        <f ca="1">IFERROR(__xludf.DUMMYFUNCTION("""COMPUTED_VALUE"""),"MOYOBAMBA")</f>
        <v>MOYOBAMBA</v>
      </c>
      <c r="G1849" s="25" t="str">
        <f ca="1">IFERROR(__xludf.DUMMYFUNCTION("""COMPUTED_VALUE"""),"HABANA")</f>
        <v>HABANA</v>
      </c>
      <c r="H1849" s="25" t="str">
        <f ca="1">IFERROR(__xludf.DUMMYFUNCTION("""COMPUTED_VALUE"""),"RURAL")</f>
        <v>RURAL</v>
      </c>
      <c r="I1849" s="25" t="str">
        <f ca="1">IFERROR(__xludf.DUMMYFUNCTION("""COMPUTED_VALUE"""),"Prioridad 2")</f>
        <v>Prioridad 2</v>
      </c>
      <c r="J1849" s="43" t="s">
        <v>263</v>
      </c>
    </row>
    <row r="1850" spans="2:10">
      <c r="B1850" s="25" t="str">
        <f ca="1">IFERROR(__xludf.DUMMYFUNCTION("""COMPUTED_VALUE"""),"MUNICIPALIDAD DISTRITAL")</f>
        <v>MUNICIPALIDAD DISTRITAL</v>
      </c>
      <c r="C1850" s="25" t="str">
        <f ca="1">IFERROR(__xludf.DUMMYFUNCTION("""COMPUTED_VALUE"""),"MUNICIPALIDAD DISTRITAL DE JEPELACIO")</f>
        <v>MUNICIPALIDAD DISTRITAL DE JEPELACIO</v>
      </c>
      <c r="D1850" s="25" t="str">
        <f ca="1">IFERROR(__xludf.DUMMYFUNCTION("""COMPUTED_VALUE"""),"SAN MARTÍN")</f>
        <v>SAN MARTÍN</v>
      </c>
      <c r="E1850" s="25" t="str">
        <f ca="1">IFERROR(__xludf.DUMMYFUNCTION("""COMPUTED_VALUE"""),"SAN MARTÍN")</f>
        <v>SAN MARTÍN</v>
      </c>
      <c r="F1850" s="25" t="str">
        <f ca="1">IFERROR(__xludf.DUMMYFUNCTION("""COMPUTED_VALUE"""),"MOYOBAMBA")</f>
        <v>MOYOBAMBA</v>
      </c>
      <c r="G1850" s="25" t="str">
        <f ca="1">IFERROR(__xludf.DUMMYFUNCTION("""COMPUTED_VALUE"""),"JEPELACIO")</f>
        <v>JEPELACIO</v>
      </c>
      <c r="H1850" s="25" t="str">
        <f ca="1">IFERROR(__xludf.DUMMYFUNCTION("""COMPUTED_VALUE"""),"RURAL")</f>
        <v>RURAL</v>
      </c>
      <c r="I1850" s="25" t="str">
        <f ca="1">IFERROR(__xludf.DUMMYFUNCTION("""COMPUTED_VALUE"""),"Prioridad 4")</f>
        <v>Prioridad 4</v>
      </c>
      <c r="J1850" s="43" t="s">
        <v>263</v>
      </c>
    </row>
    <row r="1851" spans="2:10">
      <c r="B1851" s="25" t="str">
        <f ca="1">IFERROR(__xludf.DUMMYFUNCTION("""COMPUTED_VALUE"""),"MUNICIPALIDAD DISTRITAL")</f>
        <v>MUNICIPALIDAD DISTRITAL</v>
      </c>
      <c r="C1851" s="25" t="str">
        <f ca="1">IFERROR(__xludf.DUMMYFUNCTION("""COMPUTED_VALUE"""),"MUNICIPALIDAD DISTRITAL DE SORITOR")</f>
        <v>MUNICIPALIDAD DISTRITAL DE SORITOR</v>
      </c>
      <c r="D1851" s="25" t="str">
        <f ca="1">IFERROR(__xludf.DUMMYFUNCTION("""COMPUTED_VALUE"""),"SAN MARTÍN")</f>
        <v>SAN MARTÍN</v>
      </c>
      <c r="E1851" s="25" t="str">
        <f ca="1">IFERROR(__xludf.DUMMYFUNCTION("""COMPUTED_VALUE"""),"SAN MARTÍN")</f>
        <v>SAN MARTÍN</v>
      </c>
      <c r="F1851" s="25" t="str">
        <f ca="1">IFERROR(__xludf.DUMMYFUNCTION("""COMPUTED_VALUE"""),"MOYOBAMBA")</f>
        <v>MOYOBAMBA</v>
      </c>
      <c r="G1851" s="25" t="str">
        <f ca="1">IFERROR(__xludf.DUMMYFUNCTION("""COMPUTED_VALUE"""),"SORITOR")</f>
        <v>SORITOR</v>
      </c>
      <c r="H1851" s="25" t="str">
        <f ca="1">IFERROR(__xludf.DUMMYFUNCTION("""COMPUTED_VALUE"""),"URBANO")</f>
        <v>URBANO</v>
      </c>
      <c r="I1851" s="25" t="str">
        <f ca="1">IFERROR(__xludf.DUMMYFUNCTION("""COMPUTED_VALUE"""),"Prioridad 2")</f>
        <v>Prioridad 2</v>
      </c>
      <c r="J1851" s="43" t="s">
        <v>263</v>
      </c>
    </row>
    <row r="1852" spans="2:10">
      <c r="B1852" s="25" t="str">
        <f ca="1">IFERROR(__xludf.DUMMYFUNCTION("""COMPUTED_VALUE"""),"MUNICIPALIDAD DISTRITAL")</f>
        <v>MUNICIPALIDAD DISTRITAL</v>
      </c>
      <c r="C1852" s="25" t="str">
        <f ca="1">IFERROR(__xludf.DUMMYFUNCTION("""COMPUTED_VALUE"""),"MUNICIPALIDAD DISTRITAL DE YANTALO")</f>
        <v>MUNICIPALIDAD DISTRITAL DE YANTALO</v>
      </c>
      <c r="D1852" s="25" t="str">
        <f ca="1">IFERROR(__xludf.DUMMYFUNCTION("""COMPUTED_VALUE"""),"SAN MARTÍN")</f>
        <v>SAN MARTÍN</v>
      </c>
      <c r="E1852" s="25" t="str">
        <f ca="1">IFERROR(__xludf.DUMMYFUNCTION("""COMPUTED_VALUE"""),"SAN MARTÍN")</f>
        <v>SAN MARTÍN</v>
      </c>
      <c r="F1852" s="25" t="str">
        <f ca="1">IFERROR(__xludf.DUMMYFUNCTION("""COMPUTED_VALUE"""),"MOYOBAMBA")</f>
        <v>MOYOBAMBA</v>
      </c>
      <c r="G1852" s="25" t="str">
        <f ca="1">IFERROR(__xludf.DUMMYFUNCTION("""COMPUTED_VALUE"""),"YANTALO")</f>
        <v>YANTALO</v>
      </c>
      <c r="H1852" s="25" t="str">
        <f ca="1">IFERROR(__xludf.DUMMYFUNCTION("""COMPUTED_VALUE"""),"URBANO")</f>
        <v>URBANO</v>
      </c>
      <c r="I1852" s="25" t="str">
        <f ca="1">IFERROR(__xludf.DUMMYFUNCTION("""COMPUTED_VALUE"""),"Prioridad 2")</f>
        <v>Prioridad 2</v>
      </c>
      <c r="J1852" s="43" t="s">
        <v>263</v>
      </c>
    </row>
    <row r="1853" spans="2:10">
      <c r="B1853" s="25" t="str">
        <f ca="1">IFERROR(__xludf.DUMMYFUNCTION("""COMPUTED_VALUE"""),"GOBIERNO REGIONAL")</f>
        <v>GOBIERNO REGIONAL</v>
      </c>
      <c r="C1853" s="25" t="str">
        <f ca="1">IFERROR(__xludf.DUMMYFUNCTION("""COMPUTED_VALUE"""),"GOBIERNO REGIONAL DE SAN MARTÍN")</f>
        <v>GOBIERNO REGIONAL DE SAN MARTÍN</v>
      </c>
      <c r="D1853" s="25" t="str">
        <f ca="1">IFERROR(__xludf.DUMMYFUNCTION("""COMPUTED_VALUE"""),"SAN MARTÍN")</f>
        <v>SAN MARTÍN</v>
      </c>
      <c r="E1853" s="25" t="str">
        <f ca="1">IFERROR(__xludf.DUMMYFUNCTION("""COMPUTED_VALUE"""),"SAN MARTÍN")</f>
        <v>SAN MARTÍN</v>
      </c>
      <c r="F1853" s="25" t="str">
        <f ca="1">IFERROR(__xludf.DUMMYFUNCTION("""COMPUTED_VALUE"""),"MOYOBAMBA")</f>
        <v>MOYOBAMBA</v>
      </c>
      <c r="G1853" s="25" t="str">
        <f ca="1">IFERROR(__xludf.DUMMYFUNCTION("""COMPUTED_VALUE"""),"MOYOBAMBA")</f>
        <v>MOYOBAMBA</v>
      </c>
      <c r="H1853" s="25" t="str">
        <f ca="1">IFERROR(__xludf.DUMMYFUNCTION("""COMPUTED_VALUE"""),"URBANO")</f>
        <v>URBANO</v>
      </c>
      <c r="I1853" s="25" t="str">
        <f ca="1">IFERROR(__xludf.DUMMYFUNCTION("""COMPUTED_VALUE"""),"Prioridad 1")</f>
        <v>Prioridad 1</v>
      </c>
      <c r="J1853" s="43" t="s">
        <v>263</v>
      </c>
    </row>
    <row r="1854" spans="2:10">
      <c r="B1854" s="25" t="str">
        <f ca="1">IFERROR(__xludf.DUMMYFUNCTION("""COMPUTED_VALUE"""),"MUNICIPALIDAD DISTRITAL")</f>
        <v>MUNICIPALIDAD DISTRITAL</v>
      </c>
      <c r="C1854" s="25" t="str">
        <f ca="1">IFERROR(__xludf.DUMMYFUNCTION("""COMPUTED_VALUE"""),"MUNICIPALIDAD DISTRITAL DE BUENOS AIRES EN PICOTA")</f>
        <v>MUNICIPALIDAD DISTRITAL DE BUENOS AIRES EN PICOTA</v>
      </c>
      <c r="D1854" s="25" t="str">
        <f ca="1">IFERROR(__xludf.DUMMYFUNCTION("""COMPUTED_VALUE"""),"SAN MARTÍN")</f>
        <v>SAN MARTÍN</v>
      </c>
      <c r="E1854" s="25" t="str">
        <f ca="1">IFERROR(__xludf.DUMMYFUNCTION("""COMPUTED_VALUE"""),"SAN MARTÍN")</f>
        <v>SAN MARTÍN</v>
      </c>
      <c r="F1854" s="25" t="str">
        <f ca="1">IFERROR(__xludf.DUMMYFUNCTION("""COMPUTED_VALUE"""),"PICOTA")</f>
        <v>PICOTA</v>
      </c>
      <c r="G1854" s="25" t="str">
        <f ca="1">IFERROR(__xludf.DUMMYFUNCTION("""COMPUTED_VALUE"""),"BUENOS AIRES")</f>
        <v>BUENOS AIRES</v>
      </c>
      <c r="H1854" s="25" t="str">
        <f ca="1">IFERROR(__xludf.DUMMYFUNCTION("""COMPUTED_VALUE"""),"RURAL")</f>
        <v>RURAL</v>
      </c>
      <c r="I1854" s="25" t="str">
        <f ca="1">IFERROR(__xludf.DUMMYFUNCTION("""COMPUTED_VALUE"""),"Prioridad 3")</f>
        <v>Prioridad 3</v>
      </c>
      <c r="J1854" s="43" t="s">
        <v>263</v>
      </c>
    </row>
    <row r="1855" spans="2:10">
      <c r="B1855" s="25" t="str">
        <f ca="1">IFERROR(__xludf.DUMMYFUNCTION("""COMPUTED_VALUE"""),"MUNICIPALIDAD DISTRITAL")</f>
        <v>MUNICIPALIDAD DISTRITAL</v>
      </c>
      <c r="C1855" s="25" t="str">
        <f ca="1">IFERROR(__xludf.DUMMYFUNCTION("""COMPUTED_VALUE"""),"MUNICIPALIDAD DISTRITAL DE CASPISAPA")</f>
        <v>MUNICIPALIDAD DISTRITAL DE CASPISAPA</v>
      </c>
      <c r="D1855" s="25" t="str">
        <f ca="1">IFERROR(__xludf.DUMMYFUNCTION("""COMPUTED_VALUE"""),"SAN MARTÍN")</f>
        <v>SAN MARTÍN</v>
      </c>
      <c r="E1855" s="25" t="str">
        <f ca="1">IFERROR(__xludf.DUMMYFUNCTION("""COMPUTED_VALUE"""),"SAN MARTÍN")</f>
        <v>SAN MARTÍN</v>
      </c>
      <c r="F1855" s="25" t="str">
        <f ca="1">IFERROR(__xludf.DUMMYFUNCTION("""COMPUTED_VALUE"""),"PICOTA")</f>
        <v>PICOTA</v>
      </c>
      <c r="G1855" s="25" t="str">
        <f ca="1">IFERROR(__xludf.DUMMYFUNCTION("""COMPUTED_VALUE"""),"CASPISAPA")</f>
        <v>CASPISAPA</v>
      </c>
      <c r="H1855" s="25" t="str">
        <f ca="1">IFERROR(__xludf.DUMMYFUNCTION("""COMPUTED_VALUE"""),"RURAL")</f>
        <v>RURAL</v>
      </c>
      <c r="I1855" s="25" t="str">
        <f ca="1">IFERROR(__xludf.DUMMYFUNCTION("""COMPUTED_VALUE"""),"Prioridad 2")</f>
        <v>Prioridad 2</v>
      </c>
      <c r="J1855" s="43" t="s">
        <v>263</v>
      </c>
    </row>
    <row r="1856" spans="2:10">
      <c r="B1856" s="25" t="str">
        <f ca="1">IFERROR(__xludf.DUMMYFUNCTION("""COMPUTED_VALUE"""),"OTROS")</f>
        <v>OTROS</v>
      </c>
      <c r="C1856" s="25" t="str">
        <f ca="1">IFERROR(__xludf.DUMMYFUNCTION("""COMPUTED_VALUE"""),"ESCUELA SUPERIOR DE MÚSICA PÚBLICA JOSÉ MARÍA VALLE RIESTRA DE PIURA")</f>
        <v>ESCUELA SUPERIOR DE MÚSICA PÚBLICA JOSÉ MARÍA VALLE RIESTRA DE PIURA</v>
      </c>
      <c r="D1856" s="25" t="str">
        <f ca="1">IFERROR(__xludf.DUMMYFUNCTION("""COMPUTED_VALUE"""),"PIURA")</f>
        <v>PIURA</v>
      </c>
      <c r="E1856" s="25" t="str">
        <f ca="1">IFERROR(__xludf.DUMMYFUNCTION("""COMPUTED_VALUE"""),"PIURA")</f>
        <v>PIURA</v>
      </c>
      <c r="F1856" s="25"/>
      <c r="G1856" s="25"/>
      <c r="H1856" s="25"/>
      <c r="I1856" s="25" t="str">
        <f ca="1">IFERROR(__xludf.DUMMYFUNCTION("""COMPUTED_VALUE"""),"No aplica")</f>
        <v>No aplica</v>
      </c>
      <c r="J1856" s="43" t="s">
        <v>263</v>
      </c>
    </row>
    <row r="1857" spans="2:10">
      <c r="B1857" s="25" t="str">
        <f ca="1">IFERROR(__xludf.DUMMYFUNCTION("""COMPUTED_VALUE"""),"OTROS")</f>
        <v>OTROS</v>
      </c>
      <c r="C1857" s="25" t="str">
        <f ca="1">IFERROR(__xludf.DUMMYFUNCTION("""COMPUTED_VALUE"""),"ESCUELA SUPERIOR DE ARTE PÚBLICA IGNACIO MERINO DE PIURA")</f>
        <v>ESCUELA SUPERIOR DE ARTE PÚBLICA IGNACIO MERINO DE PIURA</v>
      </c>
      <c r="D1857" s="25" t="str">
        <f ca="1">IFERROR(__xludf.DUMMYFUNCTION("""COMPUTED_VALUE"""),"PIURA")</f>
        <v>PIURA</v>
      </c>
      <c r="E1857" s="25" t="str">
        <f ca="1">IFERROR(__xludf.DUMMYFUNCTION("""COMPUTED_VALUE"""),"PIURA")</f>
        <v>PIURA</v>
      </c>
      <c r="F1857" s="25"/>
      <c r="G1857" s="25"/>
      <c r="H1857" s="25"/>
      <c r="I1857" s="25" t="str">
        <f ca="1">IFERROR(__xludf.DUMMYFUNCTION("""COMPUTED_VALUE"""),"No aplica")</f>
        <v>No aplica</v>
      </c>
      <c r="J1857" s="43" t="s">
        <v>263</v>
      </c>
    </row>
    <row r="1858" spans="2:10">
      <c r="B1858" s="25" t="str">
        <f ca="1">IFERROR(__xludf.DUMMYFUNCTION("""COMPUTED_VALUE"""),"MUNICIPALIDAD PROVINCIAL")</f>
        <v>MUNICIPALIDAD PROVINCIAL</v>
      </c>
      <c r="C1858" s="25" t="str">
        <f ca="1">IFERROR(__xludf.DUMMYFUNCTION("""COMPUTED_VALUE"""),"MUNICIPALIDAD PROVINCIAL DE PICOTA")</f>
        <v>MUNICIPALIDAD PROVINCIAL DE PICOTA</v>
      </c>
      <c r="D1858" s="25" t="str">
        <f ca="1">IFERROR(__xludf.DUMMYFUNCTION("""COMPUTED_VALUE"""),"SAN MARTÍN")</f>
        <v>SAN MARTÍN</v>
      </c>
      <c r="E1858" s="25" t="str">
        <f ca="1">IFERROR(__xludf.DUMMYFUNCTION("""COMPUTED_VALUE"""),"SAN MARTÍN")</f>
        <v>SAN MARTÍN</v>
      </c>
      <c r="F1858" s="25" t="str">
        <f ca="1">IFERROR(__xludf.DUMMYFUNCTION("""COMPUTED_VALUE"""),"PICOTA")</f>
        <v>PICOTA</v>
      </c>
      <c r="G1858" s="25" t="str">
        <f ca="1">IFERROR(__xludf.DUMMYFUNCTION("""COMPUTED_VALUE"""),"PICOTA")</f>
        <v>PICOTA</v>
      </c>
      <c r="H1858" s="25" t="str">
        <f ca="1">IFERROR(__xludf.DUMMYFUNCTION("""COMPUTED_VALUE"""),"URBANO")</f>
        <v>URBANO</v>
      </c>
      <c r="I1858" s="25" t="str">
        <f ca="1">IFERROR(__xludf.DUMMYFUNCTION("""COMPUTED_VALUE"""),"Prioridad 1")</f>
        <v>Prioridad 1</v>
      </c>
      <c r="J1858" s="43" t="s">
        <v>263</v>
      </c>
    </row>
    <row r="1859" spans="2:10">
      <c r="B1859" s="25" t="str">
        <f ca="1">IFERROR(__xludf.DUMMYFUNCTION("""COMPUTED_VALUE"""),"MUNICIPALIDAD DISTRITAL")</f>
        <v>MUNICIPALIDAD DISTRITAL</v>
      </c>
      <c r="C1859" s="25" t="str">
        <f ca="1">IFERROR(__xludf.DUMMYFUNCTION("""COMPUTED_VALUE"""),"MUNICIPALIDAD DISTRITAL DE PILLUANA")</f>
        <v>MUNICIPALIDAD DISTRITAL DE PILLUANA</v>
      </c>
      <c r="D1859" s="25" t="str">
        <f ca="1">IFERROR(__xludf.DUMMYFUNCTION("""COMPUTED_VALUE"""),"SAN MARTÍN")</f>
        <v>SAN MARTÍN</v>
      </c>
      <c r="E1859" s="25" t="str">
        <f ca="1">IFERROR(__xludf.DUMMYFUNCTION("""COMPUTED_VALUE"""),"SAN MARTÍN")</f>
        <v>SAN MARTÍN</v>
      </c>
      <c r="F1859" s="25" t="str">
        <f ca="1">IFERROR(__xludf.DUMMYFUNCTION("""COMPUTED_VALUE"""),"PICOTA")</f>
        <v>PICOTA</v>
      </c>
      <c r="G1859" s="25" t="str">
        <f ca="1">IFERROR(__xludf.DUMMYFUNCTION("""COMPUTED_VALUE"""),"PILLUANA")</f>
        <v>PILLUANA</v>
      </c>
      <c r="H1859" s="25" t="str">
        <f ca="1">IFERROR(__xludf.DUMMYFUNCTION("""COMPUTED_VALUE"""),"RURAL")</f>
        <v>RURAL</v>
      </c>
      <c r="I1859" s="25" t="str">
        <f ca="1">IFERROR(__xludf.DUMMYFUNCTION("""COMPUTED_VALUE"""),"Prioridad 2")</f>
        <v>Prioridad 2</v>
      </c>
      <c r="J1859" s="43" t="s">
        <v>263</v>
      </c>
    </row>
    <row r="1860" spans="2:10">
      <c r="B1860" s="25" t="str">
        <f ca="1">IFERROR(__xludf.DUMMYFUNCTION("""COMPUTED_VALUE"""),"MUNICIPALIDAD DISTRITAL")</f>
        <v>MUNICIPALIDAD DISTRITAL</v>
      </c>
      <c r="C1860" s="25" t="str">
        <f ca="1">IFERROR(__xludf.DUMMYFUNCTION("""COMPUTED_VALUE"""),"MUNICIPALIDAD DISTRITAL DE PUCACACA")</f>
        <v>MUNICIPALIDAD DISTRITAL DE PUCACACA</v>
      </c>
      <c r="D1860" s="25" t="str">
        <f ca="1">IFERROR(__xludf.DUMMYFUNCTION("""COMPUTED_VALUE"""),"SAN MARTÍN")</f>
        <v>SAN MARTÍN</v>
      </c>
      <c r="E1860" s="25" t="str">
        <f ca="1">IFERROR(__xludf.DUMMYFUNCTION("""COMPUTED_VALUE"""),"SAN MARTÍN")</f>
        <v>SAN MARTÍN</v>
      </c>
      <c r="F1860" s="25" t="str">
        <f ca="1">IFERROR(__xludf.DUMMYFUNCTION("""COMPUTED_VALUE"""),"PICOTA")</f>
        <v>PICOTA</v>
      </c>
      <c r="G1860" s="25" t="str">
        <f ca="1">IFERROR(__xludf.DUMMYFUNCTION("""COMPUTED_VALUE"""),"PUCACACA")</f>
        <v>PUCACACA</v>
      </c>
      <c r="H1860" s="25" t="str">
        <f ca="1">IFERROR(__xludf.DUMMYFUNCTION("""COMPUTED_VALUE"""),"URBANO")</f>
        <v>URBANO</v>
      </c>
      <c r="I1860" s="25" t="str">
        <f ca="1">IFERROR(__xludf.DUMMYFUNCTION("""COMPUTED_VALUE"""),"Prioridad 2")</f>
        <v>Prioridad 2</v>
      </c>
      <c r="J1860" s="43" t="s">
        <v>263</v>
      </c>
    </row>
    <row r="1861" spans="2:10">
      <c r="B1861" s="25" t="str">
        <f ca="1">IFERROR(__xludf.DUMMYFUNCTION("""COMPUTED_VALUE"""),"MUNICIPALIDAD DISTRITAL")</f>
        <v>MUNICIPALIDAD DISTRITAL</v>
      </c>
      <c r="C1861" s="25" t="str">
        <f ca="1">IFERROR(__xludf.DUMMYFUNCTION("""COMPUTED_VALUE"""),"MUNICIPALIDAD DISTRITAL DE SAN CRISTOBAL EN PICOTA")</f>
        <v>MUNICIPALIDAD DISTRITAL DE SAN CRISTOBAL EN PICOTA</v>
      </c>
      <c r="D1861" s="25" t="str">
        <f ca="1">IFERROR(__xludf.DUMMYFUNCTION("""COMPUTED_VALUE"""),"SAN MARTÍN")</f>
        <v>SAN MARTÍN</v>
      </c>
      <c r="E1861" s="25" t="str">
        <f ca="1">IFERROR(__xludf.DUMMYFUNCTION("""COMPUTED_VALUE"""),"SAN MARTÍN")</f>
        <v>SAN MARTÍN</v>
      </c>
      <c r="F1861" s="25" t="str">
        <f ca="1">IFERROR(__xludf.DUMMYFUNCTION("""COMPUTED_VALUE"""),"PICOTA")</f>
        <v>PICOTA</v>
      </c>
      <c r="G1861" s="25" t="str">
        <f ca="1">IFERROR(__xludf.DUMMYFUNCTION("""COMPUTED_VALUE"""),"SAN CRISTOBAL")</f>
        <v>SAN CRISTOBAL</v>
      </c>
      <c r="H1861" s="25" t="str">
        <f ca="1">IFERROR(__xludf.DUMMYFUNCTION("""COMPUTED_VALUE"""),"RURAL")</f>
        <v>RURAL</v>
      </c>
      <c r="I1861" s="25" t="str">
        <f ca="1">IFERROR(__xludf.DUMMYFUNCTION("""COMPUTED_VALUE"""),"Prioridad 2")</f>
        <v>Prioridad 2</v>
      </c>
      <c r="J1861" s="43" t="s">
        <v>263</v>
      </c>
    </row>
    <row r="1862" spans="2:10">
      <c r="B1862" s="25" t="str">
        <f ca="1">IFERROR(__xludf.DUMMYFUNCTION("""COMPUTED_VALUE"""),"MUNICIPALIDAD DISTRITAL")</f>
        <v>MUNICIPALIDAD DISTRITAL</v>
      </c>
      <c r="C1862" s="25" t="str">
        <f ca="1">IFERROR(__xludf.DUMMYFUNCTION("""COMPUTED_VALUE"""),"MUNICIPALIDAD DISTRITAL DE SAN HILARION")</f>
        <v>MUNICIPALIDAD DISTRITAL DE SAN HILARION</v>
      </c>
      <c r="D1862" s="25" t="str">
        <f ca="1">IFERROR(__xludf.DUMMYFUNCTION("""COMPUTED_VALUE"""),"SAN MARTÍN")</f>
        <v>SAN MARTÍN</v>
      </c>
      <c r="E1862" s="25" t="str">
        <f ca="1">IFERROR(__xludf.DUMMYFUNCTION("""COMPUTED_VALUE"""),"SAN MARTÍN")</f>
        <v>SAN MARTÍN</v>
      </c>
      <c r="F1862" s="25" t="str">
        <f ca="1">IFERROR(__xludf.DUMMYFUNCTION("""COMPUTED_VALUE"""),"PICOTA")</f>
        <v>PICOTA</v>
      </c>
      <c r="G1862" s="25" t="str">
        <f ca="1">IFERROR(__xludf.DUMMYFUNCTION("""COMPUTED_VALUE"""),"SAN HILARION")</f>
        <v>SAN HILARION</v>
      </c>
      <c r="H1862" s="25" t="str">
        <f ca="1">IFERROR(__xludf.DUMMYFUNCTION("""COMPUTED_VALUE"""),"URBANO")</f>
        <v>URBANO</v>
      </c>
      <c r="I1862" s="25" t="str">
        <f ca="1">IFERROR(__xludf.DUMMYFUNCTION("""COMPUTED_VALUE"""),"Prioridad 2")</f>
        <v>Prioridad 2</v>
      </c>
      <c r="J1862" s="43" t="s">
        <v>263</v>
      </c>
    </row>
    <row r="1863" spans="2:10">
      <c r="B1863" s="25" t="str">
        <f ca="1">IFERROR(__xludf.DUMMYFUNCTION("""COMPUTED_VALUE"""),"MUNICIPALIDAD DISTRITAL")</f>
        <v>MUNICIPALIDAD DISTRITAL</v>
      </c>
      <c r="C1863" s="25" t="str">
        <f ca="1">IFERROR(__xludf.DUMMYFUNCTION("""COMPUTED_VALUE"""),"MUNICIPALIDAD DISTRITAL DE SHAMBOYACU")</f>
        <v>MUNICIPALIDAD DISTRITAL DE SHAMBOYACU</v>
      </c>
      <c r="D1863" s="25" t="str">
        <f ca="1">IFERROR(__xludf.DUMMYFUNCTION("""COMPUTED_VALUE"""),"SAN MARTÍN")</f>
        <v>SAN MARTÍN</v>
      </c>
      <c r="E1863" s="25" t="str">
        <f ca="1">IFERROR(__xludf.DUMMYFUNCTION("""COMPUTED_VALUE"""),"SAN MARTÍN")</f>
        <v>SAN MARTÍN</v>
      </c>
      <c r="F1863" s="25" t="str">
        <f ca="1">IFERROR(__xludf.DUMMYFUNCTION("""COMPUTED_VALUE"""),"PICOTA")</f>
        <v>PICOTA</v>
      </c>
      <c r="G1863" s="25" t="str">
        <f ca="1">IFERROR(__xludf.DUMMYFUNCTION("""COMPUTED_VALUE"""),"SHAMBOYACU")</f>
        <v>SHAMBOYACU</v>
      </c>
      <c r="H1863" s="25" t="str">
        <f ca="1">IFERROR(__xludf.DUMMYFUNCTION("""COMPUTED_VALUE"""),"RURAL")</f>
        <v>RURAL</v>
      </c>
      <c r="I1863" s="25" t="str">
        <f ca="1">IFERROR(__xludf.DUMMYFUNCTION("""COMPUTED_VALUE"""),"Prioridad 5")</f>
        <v>Prioridad 5</v>
      </c>
      <c r="J1863" s="43" t="s">
        <v>263</v>
      </c>
    </row>
    <row r="1864" spans="2:10">
      <c r="B1864" s="25" t="str">
        <f ca="1">IFERROR(__xludf.DUMMYFUNCTION("""COMPUTED_VALUE"""),"MUNICIPALIDAD DISTRITAL")</f>
        <v>MUNICIPALIDAD DISTRITAL</v>
      </c>
      <c r="C1864" s="25" t="str">
        <f ca="1">IFERROR(__xludf.DUMMYFUNCTION("""COMPUTED_VALUE"""),"MUNICIPALIDAD DISTRITAL DE TINGO DE PONASA")</f>
        <v>MUNICIPALIDAD DISTRITAL DE TINGO DE PONASA</v>
      </c>
      <c r="D1864" s="25" t="str">
        <f ca="1">IFERROR(__xludf.DUMMYFUNCTION("""COMPUTED_VALUE"""),"SAN MARTÍN")</f>
        <v>SAN MARTÍN</v>
      </c>
      <c r="E1864" s="25" t="str">
        <f ca="1">IFERROR(__xludf.DUMMYFUNCTION("""COMPUTED_VALUE"""),"SAN MARTÍN")</f>
        <v>SAN MARTÍN</v>
      </c>
      <c r="F1864" s="25" t="str">
        <f ca="1">IFERROR(__xludf.DUMMYFUNCTION("""COMPUTED_VALUE"""),"PICOTA")</f>
        <v>PICOTA</v>
      </c>
      <c r="G1864" s="25" t="str">
        <f ca="1">IFERROR(__xludf.DUMMYFUNCTION("""COMPUTED_VALUE"""),"TINGO DE PONASA")</f>
        <v>TINGO DE PONASA</v>
      </c>
      <c r="H1864" s="25" t="str">
        <f ca="1">IFERROR(__xludf.DUMMYFUNCTION("""COMPUTED_VALUE"""),"URBANO")</f>
        <v>URBANO</v>
      </c>
      <c r="I1864" s="25" t="str">
        <f ca="1">IFERROR(__xludf.DUMMYFUNCTION("""COMPUTED_VALUE"""),"Prioridad 3")</f>
        <v>Prioridad 3</v>
      </c>
      <c r="J1864" s="43" t="s">
        <v>263</v>
      </c>
    </row>
    <row r="1865" spans="2:10">
      <c r="B1865" s="25" t="str">
        <f ca="1">IFERROR(__xludf.DUMMYFUNCTION("""COMPUTED_VALUE"""),"MUNICIPALIDAD DISTRITAL")</f>
        <v>MUNICIPALIDAD DISTRITAL</v>
      </c>
      <c r="C1865" s="25" t="str">
        <f ca="1">IFERROR(__xludf.DUMMYFUNCTION("""COMPUTED_VALUE"""),"MUNICIPALIDAD DISTRITAL DE TRES UNIDOS")</f>
        <v>MUNICIPALIDAD DISTRITAL DE TRES UNIDOS</v>
      </c>
      <c r="D1865" s="25" t="str">
        <f ca="1">IFERROR(__xludf.DUMMYFUNCTION("""COMPUTED_VALUE"""),"SAN MARTÍN")</f>
        <v>SAN MARTÍN</v>
      </c>
      <c r="E1865" s="25" t="str">
        <f ca="1">IFERROR(__xludf.DUMMYFUNCTION("""COMPUTED_VALUE"""),"SAN MARTÍN")</f>
        <v>SAN MARTÍN</v>
      </c>
      <c r="F1865" s="25" t="str">
        <f ca="1">IFERROR(__xludf.DUMMYFUNCTION("""COMPUTED_VALUE"""),"PICOTA")</f>
        <v>PICOTA</v>
      </c>
      <c r="G1865" s="25" t="str">
        <f ca="1">IFERROR(__xludf.DUMMYFUNCTION("""COMPUTED_VALUE"""),"TRES UNIDOS")</f>
        <v>TRES UNIDOS</v>
      </c>
      <c r="H1865" s="25" t="str">
        <f ca="1">IFERROR(__xludf.DUMMYFUNCTION("""COMPUTED_VALUE"""),"RURAL")</f>
        <v>RURAL</v>
      </c>
      <c r="I1865" s="25" t="str">
        <f ca="1">IFERROR(__xludf.DUMMYFUNCTION("""COMPUTED_VALUE"""),"Prioridad 5")</f>
        <v>Prioridad 5</v>
      </c>
      <c r="J1865" s="43" t="s">
        <v>263</v>
      </c>
    </row>
    <row r="1866" spans="2:10">
      <c r="B1866" s="25" t="str">
        <f ca="1">IFERROR(__xludf.DUMMYFUNCTION("""COMPUTED_VALUE"""),"MUNICIPALIDAD PROVINCIAL")</f>
        <v>MUNICIPALIDAD PROVINCIAL</v>
      </c>
      <c r="C1866" s="25" t="str">
        <f ca="1">IFERROR(__xludf.DUMMYFUNCTION("""COMPUTED_VALUE"""),"MUNICIPALIDAD PROVINCIAL DE RIOJA")</f>
        <v>MUNICIPALIDAD PROVINCIAL DE RIOJA</v>
      </c>
      <c r="D1866" s="25" t="str">
        <f ca="1">IFERROR(__xludf.DUMMYFUNCTION("""COMPUTED_VALUE"""),"SAN MARTÍN")</f>
        <v>SAN MARTÍN</v>
      </c>
      <c r="E1866" s="25" t="str">
        <f ca="1">IFERROR(__xludf.DUMMYFUNCTION("""COMPUTED_VALUE"""),"SAN MARTÍN")</f>
        <v>SAN MARTÍN</v>
      </c>
      <c r="F1866" s="25" t="str">
        <f ca="1">IFERROR(__xludf.DUMMYFUNCTION("""COMPUTED_VALUE"""),"RIOJA")</f>
        <v>RIOJA</v>
      </c>
      <c r="G1866" s="25" t="str">
        <f ca="1">IFERROR(__xludf.DUMMYFUNCTION("""COMPUTED_VALUE"""),"RIOJA")</f>
        <v>RIOJA</v>
      </c>
      <c r="H1866" s="25" t="str">
        <f ca="1">IFERROR(__xludf.DUMMYFUNCTION("""COMPUTED_VALUE"""),"URBANO")</f>
        <v>URBANO</v>
      </c>
      <c r="I1866" s="25" t="str">
        <f ca="1">IFERROR(__xludf.DUMMYFUNCTION("""COMPUTED_VALUE"""),"Prioridad 1")</f>
        <v>Prioridad 1</v>
      </c>
      <c r="J1866" s="43" t="s">
        <v>263</v>
      </c>
    </row>
    <row r="1867" spans="2:10">
      <c r="B1867" s="25" t="str">
        <f ca="1">IFERROR(__xludf.DUMMYFUNCTION("""COMPUTED_VALUE"""),"MUNICIPALIDAD DISTRITAL")</f>
        <v>MUNICIPALIDAD DISTRITAL</v>
      </c>
      <c r="C1867" s="25" t="str">
        <f ca="1">IFERROR(__xludf.DUMMYFUNCTION("""COMPUTED_VALUE"""),"MUNICIPALIDAD DISTRITAL DE AWAJUN")</f>
        <v>MUNICIPALIDAD DISTRITAL DE AWAJUN</v>
      </c>
      <c r="D1867" s="25" t="str">
        <f ca="1">IFERROR(__xludf.DUMMYFUNCTION("""COMPUTED_VALUE"""),"SAN MARTÍN")</f>
        <v>SAN MARTÍN</v>
      </c>
      <c r="E1867" s="25" t="str">
        <f ca="1">IFERROR(__xludf.DUMMYFUNCTION("""COMPUTED_VALUE"""),"SAN MARTÍN")</f>
        <v>SAN MARTÍN</v>
      </c>
      <c r="F1867" s="25" t="str">
        <f ca="1">IFERROR(__xludf.DUMMYFUNCTION("""COMPUTED_VALUE"""),"RIOJA")</f>
        <v>RIOJA</v>
      </c>
      <c r="G1867" s="25" t="str">
        <f ca="1">IFERROR(__xludf.DUMMYFUNCTION("""COMPUTED_VALUE"""),"AWAJUN")</f>
        <v>AWAJUN</v>
      </c>
      <c r="H1867" s="25" t="str">
        <f ca="1">IFERROR(__xludf.DUMMYFUNCTION("""COMPUTED_VALUE"""),"RURAL")</f>
        <v>RURAL</v>
      </c>
      <c r="I1867" s="25" t="str">
        <f ca="1">IFERROR(__xludf.DUMMYFUNCTION("""COMPUTED_VALUE"""),"Prioridad 5")</f>
        <v>Prioridad 5</v>
      </c>
      <c r="J1867" s="43" t="s">
        <v>263</v>
      </c>
    </row>
    <row r="1868" spans="2:10">
      <c r="B1868" s="25" t="str">
        <f ca="1">IFERROR(__xludf.DUMMYFUNCTION("""COMPUTED_VALUE"""),"MUNICIPALIDAD DISTRITAL")</f>
        <v>MUNICIPALIDAD DISTRITAL</v>
      </c>
      <c r="C1868" s="25" t="str">
        <f ca="1">IFERROR(__xludf.DUMMYFUNCTION("""COMPUTED_VALUE"""),"MUNICIPALIDAD DISTRITAL DE ELIAS SOPLIN VARGAS")</f>
        <v>MUNICIPALIDAD DISTRITAL DE ELIAS SOPLIN VARGAS</v>
      </c>
      <c r="D1868" s="25" t="str">
        <f ca="1">IFERROR(__xludf.DUMMYFUNCTION("""COMPUTED_VALUE"""),"SAN MARTÍN")</f>
        <v>SAN MARTÍN</v>
      </c>
      <c r="E1868" s="25" t="str">
        <f ca="1">IFERROR(__xludf.DUMMYFUNCTION("""COMPUTED_VALUE"""),"SAN MARTÍN")</f>
        <v>SAN MARTÍN</v>
      </c>
      <c r="F1868" s="25" t="str">
        <f ca="1">IFERROR(__xludf.DUMMYFUNCTION("""COMPUTED_VALUE"""),"RIOJA")</f>
        <v>RIOJA</v>
      </c>
      <c r="G1868" s="25" t="str">
        <f ca="1">IFERROR(__xludf.DUMMYFUNCTION("""COMPUTED_VALUE"""),"ELIAS SOPLIN VARGAS")</f>
        <v>ELIAS SOPLIN VARGAS</v>
      </c>
      <c r="H1868" s="25" t="str">
        <f ca="1">IFERROR(__xludf.DUMMYFUNCTION("""COMPUTED_VALUE"""),"URBANO")</f>
        <v>URBANO</v>
      </c>
      <c r="I1868" s="25" t="str">
        <f ca="1">IFERROR(__xludf.DUMMYFUNCTION("""COMPUTED_VALUE"""),"Prioridad 2")</f>
        <v>Prioridad 2</v>
      </c>
      <c r="J1868" s="43" t="s">
        <v>263</v>
      </c>
    </row>
    <row r="1869" spans="2:10">
      <c r="B1869" s="25" t="str">
        <f ca="1">IFERROR(__xludf.DUMMYFUNCTION("""COMPUTED_VALUE"""),"MUNICIPALIDAD DISTRITAL")</f>
        <v>MUNICIPALIDAD DISTRITAL</v>
      </c>
      <c r="C1869" s="25" t="str">
        <f ca="1">IFERROR(__xludf.DUMMYFUNCTION("""COMPUTED_VALUE"""),"MUNICIPALIDAD DISTRITAL DE NUEVA CAJAMARCA")</f>
        <v>MUNICIPALIDAD DISTRITAL DE NUEVA CAJAMARCA</v>
      </c>
      <c r="D1869" s="25" t="str">
        <f ca="1">IFERROR(__xludf.DUMMYFUNCTION("""COMPUTED_VALUE"""),"SAN MARTÍN")</f>
        <v>SAN MARTÍN</v>
      </c>
      <c r="E1869" s="25" t="str">
        <f ca="1">IFERROR(__xludf.DUMMYFUNCTION("""COMPUTED_VALUE"""),"SAN MARTÍN")</f>
        <v>SAN MARTÍN</v>
      </c>
      <c r="F1869" s="25" t="str">
        <f ca="1">IFERROR(__xludf.DUMMYFUNCTION("""COMPUTED_VALUE"""),"RIOJA")</f>
        <v>RIOJA</v>
      </c>
      <c r="G1869" s="25" t="str">
        <f ca="1">IFERROR(__xludf.DUMMYFUNCTION("""COMPUTED_VALUE"""),"NUEVA CAJAMARCA")</f>
        <v>NUEVA CAJAMARCA</v>
      </c>
      <c r="H1869" s="25" t="str">
        <f ca="1">IFERROR(__xludf.DUMMYFUNCTION("""COMPUTED_VALUE"""),"URBANO")</f>
        <v>URBANO</v>
      </c>
      <c r="I1869" s="25" t="str">
        <f ca="1">IFERROR(__xludf.DUMMYFUNCTION("""COMPUTED_VALUE"""),"Prioridad 1")</f>
        <v>Prioridad 1</v>
      </c>
      <c r="J1869" s="43" t="s">
        <v>261</v>
      </c>
    </row>
    <row r="1870" spans="2:10">
      <c r="B1870" s="25" t="str">
        <f ca="1">IFERROR(__xludf.DUMMYFUNCTION("""COMPUTED_VALUE"""),"MUNICIPALIDAD DISTRITAL")</f>
        <v>MUNICIPALIDAD DISTRITAL</v>
      </c>
      <c r="C1870" s="25" t="str">
        <f ca="1">IFERROR(__xludf.DUMMYFUNCTION("""COMPUTED_VALUE"""),"MUNICIPALIDAD DISTRITAL DE PARDO MIGUEL")</f>
        <v>MUNICIPALIDAD DISTRITAL DE PARDO MIGUEL</v>
      </c>
      <c r="D1870" s="25" t="str">
        <f ca="1">IFERROR(__xludf.DUMMYFUNCTION("""COMPUTED_VALUE"""),"SAN MARTÍN")</f>
        <v>SAN MARTÍN</v>
      </c>
      <c r="E1870" s="25" t="str">
        <f ca="1">IFERROR(__xludf.DUMMYFUNCTION("""COMPUTED_VALUE"""),"SAN MARTÍN")</f>
        <v>SAN MARTÍN</v>
      </c>
      <c r="F1870" s="25" t="str">
        <f ca="1">IFERROR(__xludf.DUMMYFUNCTION("""COMPUTED_VALUE"""),"RIOJA")</f>
        <v>RIOJA</v>
      </c>
      <c r="G1870" s="25" t="str">
        <f ca="1">IFERROR(__xludf.DUMMYFUNCTION("""COMPUTED_VALUE"""),"PARDO MIGUEL")</f>
        <v>PARDO MIGUEL</v>
      </c>
      <c r="H1870" s="25" t="str">
        <f ca="1">IFERROR(__xludf.DUMMYFUNCTION("""COMPUTED_VALUE"""),"URBANO")</f>
        <v>URBANO</v>
      </c>
      <c r="I1870" s="25" t="str">
        <f ca="1">IFERROR(__xludf.DUMMYFUNCTION("""COMPUTED_VALUE"""),"Prioridad 3")</f>
        <v>Prioridad 3</v>
      </c>
      <c r="J1870" s="43" t="s">
        <v>261</v>
      </c>
    </row>
    <row r="1871" spans="2:10">
      <c r="B1871" s="25" t="str">
        <f ca="1">IFERROR(__xludf.DUMMYFUNCTION("""COMPUTED_VALUE"""),"MUNICIPALIDAD DISTRITAL")</f>
        <v>MUNICIPALIDAD DISTRITAL</v>
      </c>
      <c r="C1871" s="25" t="str">
        <f ca="1">IFERROR(__xludf.DUMMYFUNCTION("""COMPUTED_VALUE"""),"MUNICIPALIDAD DISTRITAL DE POSIC")</f>
        <v>MUNICIPALIDAD DISTRITAL DE POSIC</v>
      </c>
      <c r="D1871" s="25" t="str">
        <f ca="1">IFERROR(__xludf.DUMMYFUNCTION("""COMPUTED_VALUE"""),"SAN MARTÍN")</f>
        <v>SAN MARTÍN</v>
      </c>
      <c r="E1871" s="25" t="str">
        <f ca="1">IFERROR(__xludf.DUMMYFUNCTION("""COMPUTED_VALUE"""),"SAN MARTÍN")</f>
        <v>SAN MARTÍN</v>
      </c>
      <c r="F1871" s="25" t="str">
        <f ca="1">IFERROR(__xludf.DUMMYFUNCTION("""COMPUTED_VALUE"""),"RIOJA")</f>
        <v>RIOJA</v>
      </c>
      <c r="G1871" s="25" t="str">
        <f ca="1">IFERROR(__xludf.DUMMYFUNCTION("""COMPUTED_VALUE"""),"POSIC")</f>
        <v>POSIC</v>
      </c>
      <c r="H1871" s="25" t="str">
        <f ca="1">IFERROR(__xludf.DUMMYFUNCTION("""COMPUTED_VALUE"""),"RURAL")</f>
        <v>RURAL</v>
      </c>
      <c r="I1871" s="25" t="str">
        <f ca="1">IFERROR(__xludf.DUMMYFUNCTION("""COMPUTED_VALUE"""),"Prioridad 2")</f>
        <v>Prioridad 2</v>
      </c>
      <c r="J1871" s="43" t="s">
        <v>261</v>
      </c>
    </row>
    <row r="1872" spans="2:10">
      <c r="B1872" s="25" t="str">
        <f ca="1">IFERROR(__xludf.DUMMYFUNCTION("""COMPUTED_VALUE"""),"MUNICIPALIDAD DISTRITAL")</f>
        <v>MUNICIPALIDAD DISTRITAL</v>
      </c>
      <c r="C1872" s="25" t="str">
        <f ca="1">IFERROR(__xludf.DUMMYFUNCTION("""COMPUTED_VALUE"""),"MUNICIPALIDAD DISTRITAL DE SAN FERNANDO")</f>
        <v>MUNICIPALIDAD DISTRITAL DE SAN FERNANDO</v>
      </c>
      <c r="D1872" s="25" t="str">
        <f ca="1">IFERROR(__xludf.DUMMYFUNCTION("""COMPUTED_VALUE"""),"SAN MARTÍN")</f>
        <v>SAN MARTÍN</v>
      </c>
      <c r="E1872" s="25" t="str">
        <f ca="1">IFERROR(__xludf.DUMMYFUNCTION("""COMPUTED_VALUE"""),"SAN MARTÍN")</f>
        <v>SAN MARTÍN</v>
      </c>
      <c r="F1872" s="25" t="str">
        <f ca="1">IFERROR(__xludf.DUMMYFUNCTION("""COMPUTED_VALUE"""),"RIOJA")</f>
        <v>RIOJA</v>
      </c>
      <c r="G1872" s="25" t="str">
        <f ca="1">IFERROR(__xludf.DUMMYFUNCTION("""COMPUTED_VALUE"""),"SAN FERNANDO")</f>
        <v>SAN FERNANDO</v>
      </c>
      <c r="H1872" s="25" t="str">
        <f ca="1">IFERROR(__xludf.DUMMYFUNCTION("""COMPUTED_VALUE"""),"URBANO")</f>
        <v>URBANO</v>
      </c>
      <c r="I1872" s="25" t="str">
        <f ca="1">IFERROR(__xludf.DUMMYFUNCTION("""COMPUTED_VALUE"""),"Prioridad 3")</f>
        <v>Prioridad 3</v>
      </c>
      <c r="J1872" s="43" t="s">
        <v>261</v>
      </c>
    </row>
    <row r="1873" spans="2:10">
      <c r="B1873" s="25" t="str">
        <f ca="1">IFERROR(__xludf.DUMMYFUNCTION("""COMPUTED_VALUE"""),"MUNICIPALIDAD DISTRITAL")</f>
        <v>MUNICIPALIDAD DISTRITAL</v>
      </c>
      <c r="C1873" s="25" t="str">
        <f ca="1">IFERROR(__xludf.DUMMYFUNCTION("""COMPUTED_VALUE"""),"MUNICIPALIDAD DISTRITAL DE YORONGOS")</f>
        <v>MUNICIPALIDAD DISTRITAL DE YORONGOS</v>
      </c>
      <c r="D1873" s="25" t="str">
        <f ca="1">IFERROR(__xludf.DUMMYFUNCTION("""COMPUTED_VALUE"""),"SAN MARTÍN")</f>
        <v>SAN MARTÍN</v>
      </c>
      <c r="E1873" s="25" t="str">
        <f ca="1">IFERROR(__xludf.DUMMYFUNCTION("""COMPUTED_VALUE"""),"SAN MARTÍN")</f>
        <v>SAN MARTÍN</v>
      </c>
      <c r="F1873" s="25" t="str">
        <f ca="1">IFERROR(__xludf.DUMMYFUNCTION("""COMPUTED_VALUE"""),"RIOJA")</f>
        <v>RIOJA</v>
      </c>
      <c r="G1873" s="25" t="str">
        <f ca="1">IFERROR(__xludf.DUMMYFUNCTION("""COMPUTED_VALUE"""),"YORONGOS")</f>
        <v>YORONGOS</v>
      </c>
      <c r="H1873" s="25" t="str">
        <f ca="1">IFERROR(__xludf.DUMMYFUNCTION("""COMPUTED_VALUE"""),"RURAL")</f>
        <v>RURAL</v>
      </c>
      <c r="I1873" s="25" t="str">
        <f ca="1">IFERROR(__xludf.DUMMYFUNCTION("""COMPUTED_VALUE"""),"Prioridad 4")</f>
        <v>Prioridad 4</v>
      </c>
      <c r="J1873" s="43" t="s">
        <v>261</v>
      </c>
    </row>
    <row r="1874" spans="2:10">
      <c r="B1874" s="25" t="str">
        <f ca="1">IFERROR(__xludf.DUMMYFUNCTION("""COMPUTED_VALUE"""),"MUNICIPALIDAD DISTRITAL")</f>
        <v>MUNICIPALIDAD DISTRITAL</v>
      </c>
      <c r="C1874" s="25" t="str">
        <f ca="1">IFERROR(__xludf.DUMMYFUNCTION("""COMPUTED_VALUE"""),"MUNICIPALIDAD DISTRITAL DE YURACYACU")</f>
        <v>MUNICIPALIDAD DISTRITAL DE YURACYACU</v>
      </c>
      <c r="D1874" s="25" t="str">
        <f ca="1">IFERROR(__xludf.DUMMYFUNCTION("""COMPUTED_VALUE"""),"SAN MARTÍN")</f>
        <v>SAN MARTÍN</v>
      </c>
      <c r="E1874" s="25" t="str">
        <f ca="1">IFERROR(__xludf.DUMMYFUNCTION("""COMPUTED_VALUE"""),"SAN MARTÍN")</f>
        <v>SAN MARTÍN</v>
      </c>
      <c r="F1874" s="25" t="str">
        <f ca="1">IFERROR(__xludf.DUMMYFUNCTION("""COMPUTED_VALUE"""),"RIOJA")</f>
        <v>RIOJA</v>
      </c>
      <c r="G1874" s="25" t="str">
        <f ca="1">IFERROR(__xludf.DUMMYFUNCTION("""COMPUTED_VALUE"""),"YURACYACU")</f>
        <v>YURACYACU</v>
      </c>
      <c r="H1874" s="25" t="str">
        <f ca="1">IFERROR(__xludf.DUMMYFUNCTION("""COMPUTED_VALUE"""),"URBANO")</f>
        <v>URBANO</v>
      </c>
      <c r="I1874" s="25" t="str">
        <f ca="1">IFERROR(__xludf.DUMMYFUNCTION("""COMPUTED_VALUE"""),"Prioridad 2")</f>
        <v>Prioridad 2</v>
      </c>
      <c r="J1874" s="43" t="s">
        <v>261</v>
      </c>
    </row>
    <row r="1875" spans="2:10">
      <c r="B1875" s="25" t="str">
        <f ca="1">IFERROR(__xludf.DUMMYFUNCTION("""COMPUTED_VALUE"""),"MUNICIPALIDAD PROVINCIAL")</f>
        <v>MUNICIPALIDAD PROVINCIAL</v>
      </c>
      <c r="C1875" s="25" t="str">
        <f ca="1">IFERROR(__xludf.DUMMYFUNCTION("""COMPUTED_VALUE"""),"MUNICIPALIDAD PROVINCIAL DE SAN MARTIN")</f>
        <v>MUNICIPALIDAD PROVINCIAL DE SAN MARTIN</v>
      </c>
      <c r="D1875" s="25" t="str">
        <f ca="1">IFERROR(__xludf.DUMMYFUNCTION("""COMPUTED_VALUE"""),"SAN MARTÍN")</f>
        <v>SAN MARTÍN</v>
      </c>
      <c r="E1875" s="25" t="str">
        <f ca="1">IFERROR(__xludf.DUMMYFUNCTION("""COMPUTED_VALUE"""),"SAN MARTÍN")</f>
        <v>SAN MARTÍN</v>
      </c>
      <c r="F1875" s="25" t="str">
        <f ca="1">IFERROR(__xludf.DUMMYFUNCTION("""COMPUTED_VALUE"""),"SAN MARTIN")</f>
        <v>SAN MARTIN</v>
      </c>
      <c r="G1875" s="25" t="str">
        <f ca="1">IFERROR(__xludf.DUMMYFUNCTION("""COMPUTED_VALUE"""),"TARAPOTO")</f>
        <v>TARAPOTO</v>
      </c>
      <c r="H1875" s="25" t="str">
        <f ca="1">IFERROR(__xludf.DUMMYFUNCTION("""COMPUTED_VALUE"""),"URBANO")</f>
        <v>URBANO</v>
      </c>
      <c r="I1875" s="25" t="str">
        <f ca="1">IFERROR(__xludf.DUMMYFUNCTION("""COMPUTED_VALUE"""),"Prioridad 1")</f>
        <v>Prioridad 1</v>
      </c>
      <c r="J1875" s="43" t="s">
        <v>261</v>
      </c>
    </row>
    <row r="1876" spans="2:10">
      <c r="B1876" s="25" t="str">
        <f ca="1">IFERROR(__xludf.DUMMYFUNCTION("""COMPUTED_VALUE"""),"MUNICIPALIDAD DISTRITAL")</f>
        <v>MUNICIPALIDAD DISTRITAL</v>
      </c>
      <c r="C1876" s="25" t="str">
        <f ca="1">IFERROR(__xludf.DUMMYFUNCTION("""COMPUTED_VALUE"""),"MUNICIPALIDAD DISTRITAL DE ALBERTO LEVEAU")</f>
        <v>MUNICIPALIDAD DISTRITAL DE ALBERTO LEVEAU</v>
      </c>
      <c r="D1876" s="25" t="str">
        <f ca="1">IFERROR(__xludf.DUMMYFUNCTION("""COMPUTED_VALUE"""),"SAN MARTÍN")</f>
        <v>SAN MARTÍN</v>
      </c>
      <c r="E1876" s="25" t="str">
        <f ca="1">IFERROR(__xludf.DUMMYFUNCTION("""COMPUTED_VALUE"""),"SAN MARTÍN")</f>
        <v>SAN MARTÍN</v>
      </c>
      <c r="F1876" s="25" t="str">
        <f ca="1">IFERROR(__xludf.DUMMYFUNCTION("""COMPUTED_VALUE"""),"SAN MARTIN")</f>
        <v>SAN MARTIN</v>
      </c>
      <c r="G1876" s="25" t="str">
        <f ca="1">IFERROR(__xludf.DUMMYFUNCTION("""COMPUTED_VALUE"""),"ALBERTO LEVEAU")</f>
        <v>ALBERTO LEVEAU</v>
      </c>
      <c r="H1876" s="25" t="str">
        <f ca="1">IFERROR(__xludf.DUMMYFUNCTION("""COMPUTED_VALUE"""),"RURAL")</f>
        <v>RURAL</v>
      </c>
      <c r="I1876" s="25" t="str">
        <f ca="1">IFERROR(__xludf.DUMMYFUNCTION("""COMPUTED_VALUE"""),"Prioridad 3")</f>
        <v>Prioridad 3</v>
      </c>
      <c r="J1876" s="43" t="s">
        <v>261</v>
      </c>
    </row>
    <row r="1877" spans="2:10">
      <c r="B1877" s="25" t="str">
        <f ca="1">IFERROR(__xludf.DUMMYFUNCTION("""COMPUTED_VALUE"""),"MUNICIPALIDAD DISTRITAL")</f>
        <v>MUNICIPALIDAD DISTRITAL</v>
      </c>
      <c r="C1877" s="25" t="str">
        <f ca="1">IFERROR(__xludf.DUMMYFUNCTION("""COMPUTED_VALUE"""),"MUNICIPALIDAD DISTRITAL DE CACATACHI")</f>
        <v>MUNICIPALIDAD DISTRITAL DE CACATACHI</v>
      </c>
      <c r="D1877" s="25" t="str">
        <f ca="1">IFERROR(__xludf.DUMMYFUNCTION("""COMPUTED_VALUE"""),"SAN MARTÍN")</f>
        <v>SAN MARTÍN</v>
      </c>
      <c r="E1877" s="25" t="str">
        <f ca="1">IFERROR(__xludf.DUMMYFUNCTION("""COMPUTED_VALUE"""),"SAN MARTÍN")</f>
        <v>SAN MARTÍN</v>
      </c>
      <c r="F1877" s="25" t="str">
        <f ca="1">IFERROR(__xludf.DUMMYFUNCTION("""COMPUTED_VALUE"""),"SAN MARTIN")</f>
        <v>SAN MARTIN</v>
      </c>
      <c r="G1877" s="25" t="str">
        <f ca="1">IFERROR(__xludf.DUMMYFUNCTION("""COMPUTED_VALUE"""),"CACATACHI")</f>
        <v>CACATACHI</v>
      </c>
      <c r="H1877" s="25" t="str">
        <f ca="1">IFERROR(__xludf.DUMMYFUNCTION("""COMPUTED_VALUE"""),"URBANO")</f>
        <v>URBANO</v>
      </c>
      <c r="I1877" s="25" t="str">
        <f ca="1">IFERROR(__xludf.DUMMYFUNCTION("""COMPUTED_VALUE"""),"Prioridad 2")</f>
        <v>Prioridad 2</v>
      </c>
      <c r="J1877" s="43" t="s">
        <v>261</v>
      </c>
    </row>
    <row r="1878" spans="2:10">
      <c r="B1878" s="25" t="str">
        <f ca="1">IFERROR(__xludf.DUMMYFUNCTION("""COMPUTED_VALUE"""),"MUNICIPALIDAD DISTRITAL")</f>
        <v>MUNICIPALIDAD DISTRITAL</v>
      </c>
      <c r="C1878" s="25" t="str">
        <f ca="1">IFERROR(__xludf.DUMMYFUNCTION("""COMPUTED_VALUE"""),"MUNICIPALIDAD DISTRITAL DE CHAZUTA")</f>
        <v>MUNICIPALIDAD DISTRITAL DE CHAZUTA</v>
      </c>
      <c r="D1878" s="25" t="str">
        <f ca="1">IFERROR(__xludf.DUMMYFUNCTION("""COMPUTED_VALUE"""),"SAN MARTÍN")</f>
        <v>SAN MARTÍN</v>
      </c>
      <c r="E1878" s="25" t="str">
        <f ca="1">IFERROR(__xludf.DUMMYFUNCTION("""COMPUTED_VALUE"""),"SAN MARTÍN")</f>
        <v>SAN MARTÍN</v>
      </c>
      <c r="F1878" s="25" t="str">
        <f ca="1">IFERROR(__xludf.DUMMYFUNCTION("""COMPUTED_VALUE"""),"SAN MARTIN")</f>
        <v>SAN MARTIN</v>
      </c>
      <c r="G1878" s="25" t="str">
        <f ca="1">IFERROR(__xludf.DUMMYFUNCTION("""COMPUTED_VALUE"""),"CHAZUTA")</f>
        <v>CHAZUTA</v>
      </c>
      <c r="H1878" s="25" t="str">
        <f ca="1">IFERROR(__xludf.DUMMYFUNCTION("""COMPUTED_VALUE"""),"URBANO")</f>
        <v>URBANO</v>
      </c>
      <c r="I1878" s="25" t="str">
        <f ca="1">IFERROR(__xludf.DUMMYFUNCTION("""COMPUTED_VALUE"""),"Prioridad 3")</f>
        <v>Prioridad 3</v>
      </c>
      <c r="J1878" s="43" t="s">
        <v>261</v>
      </c>
    </row>
    <row r="1879" spans="2:10">
      <c r="B1879" s="25" t="str">
        <f ca="1">IFERROR(__xludf.DUMMYFUNCTION("""COMPUTED_VALUE"""),"MUNICIPALIDAD DISTRITAL")</f>
        <v>MUNICIPALIDAD DISTRITAL</v>
      </c>
      <c r="C1879" s="25" t="str">
        <f ca="1">IFERROR(__xludf.DUMMYFUNCTION("""COMPUTED_VALUE"""),"MUNICIPALIDAD DISTRITAL DE CHIPURANA")</f>
        <v>MUNICIPALIDAD DISTRITAL DE CHIPURANA</v>
      </c>
      <c r="D1879" s="25" t="str">
        <f ca="1">IFERROR(__xludf.DUMMYFUNCTION("""COMPUTED_VALUE"""),"SAN MARTÍN")</f>
        <v>SAN MARTÍN</v>
      </c>
      <c r="E1879" s="25" t="str">
        <f ca="1">IFERROR(__xludf.DUMMYFUNCTION("""COMPUTED_VALUE"""),"SAN MARTÍN")</f>
        <v>SAN MARTÍN</v>
      </c>
      <c r="F1879" s="25" t="str">
        <f ca="1">IFERROR(__xludf.DUMMYFUNCTION("""COMPUTED_VALUE"""),"SAN MARTIN")</f>
        <v>SAN MARTIN</v>
      </c>
      <c r="G1879" s="25" t="str">
        <f ca="1">IFERROR(__xludf.DUMMYFUNCTION("""COMPUTED_VALUE"""),"CHIPURANA")</f>
        <v>CHIPURANA</v>
      </c>
      <c r="H1879" s="25" t="str">
        <f ca="1">IFERROR(__xludf.DUMMYFUNCTION("""COMPUTED_VALUE"""),"RURAL")</f>
        <v>RURAL</v>
      </c>
      <c r="I1879" s="25" t="str">
        <f ca="1">IFERROR(__xludf.DUMMYFUNCTION("""COMPUTED_VALUE"""),"Prioridad 2")</f>
        <v>Prioridad 2</v>
      </c>
      <c r="J1879" s="43" t="s">
        <v>261</v>
      </c>
    </row>
    <row r="1880" spans="2:10">
      <c r="B1880" s="25" t="str">
        <f ca="1">IFERROR(__xludf.DUMMYFUNCTION("""COMPUTED_VALUE"""),"MUNICIPALIDAD DISTRITAL")</f>
        <v>MUNICIPALIDAD DISTRITAL</v>
      </c>
      <c r="C1880" s="25" t="str">
        <f ca="1">IFERROR(__xludf.DUMMYFUNCTION("""COMPUTED_VALUE"""),"MUNICIPALIDAD DISTRITAL DE EL PORVENIR EN SAN MARTIN")</f>
        <v>MUNICIPALIDAD DISTRITAL DE EL PORVENIR EN SAN MARTIN</v>
      </c>
      <c r="D1880" s="25" t="str">
        <f ca="1">IFERROR(__xludf.DUMMYFUNCTION("""COMPUTED_VALUE"""),"SAN MARTÍN")</f>
        <v>SAN MARTÍN</v>
      </c>
      <c r="E1880" s="25" t="str">
        <f ca="1">IFERROR(__xludf.DUMMYFUNCTION("""COMPUTED_VALUE"""),"SAN MARTÍN")</f>
        <v>SAN MARTÍN</v>
      </c>
      <c r="F1880" s="25" t="str">
        <f ca="1">IFERROR(__xludf.DUMMYFUNCTION("""COMPUTED_VALUE"""),"SAN MARTIN")</f>
        <v>SAN MARTIN</v>
      </c>
      <c r="G1880" s="25" t="str">
        <f ca="1">IFERROR(__xludf.DUMMYFUNCTION("""COMPUTED_VALUE"""),"EL PORVENIR")</f>
        <v>EL PORVENIR</v>
      </c>
      <c r="H1880" s="25" t="str">
        <f ca="1">IFERROR(__xludf.DUMMYFUNCTION("""COMPUTED_VALUE"""),"RURAL")</f>
        <v>RURAL</v>
      </c>
      <c r="I1880" s="25" t="str">
        <f ca="1">IFERROR(__xludf.DUMMYFUNCTION("""COMPUTED_VALUE"""),"Prioridad 2")</f>
        <v>Prioridad 2</v>
      </c>
      <c r="J1880" s="43" t="s">
        <v>261</v>
      </c>
    </row>
    <row r="1881" spans="2:10">
      <c r="B1881" s="25" t="str">
        <f ca="1">IFERROR(__xludf.DUMMYFUNCTION("""COMPUTED_VALUE"""),"MUNICIPALIDAD DISTRITAL")</f>
        <v>MUNICIPALIDAD DISTRITAL</v>
      </c>
      <c r="C1881" s="25" t="str">
        <f ca="1">IFERROR(__xludf.DUMMYFUNCTION("""COMPUTED_VALUE"""),"MUNICIPALIDAD DISTRITAL DE HUIMBAYOC")</f>
        <v>MUNICIPALIDAD DISTRITAL DE HUIMBAYOC</v>
      </c>
      <c r="D1881" s="25" t="str">
        <f ca="1">IFERROR(__xludf.DUMMYFUNCTION("""COMPUTED_VALUE"""),"SAN MARTÍN")</f>
        <v>SAN MARTÍN</v>
      </c>
      <c r="E1881" s="25" t="str">
        <f ca="1">IFERROR(__xludf.DUMMYFUNCTION("""COMPUTED_VALUE"""),"SAN MARTÍN")</f>
        <v>SAN MARTÍN</v>
      </c>
      <c r="F1881" s="25" t="str">
        <f ca="1">IFERROR(__xludf.DUMMYFUNCTION("""COMPUTED_VALUE"""),"SAN MARTIN")</f>
        <v>SAN MARTIN</v>
      </c>
      <c r="G1881" s="25" t="str">
        <f ca="1">IFERROR(__xludf.DUMMYFUNCTION("""COMPUTED_VALUE"""),"HUIMBAYOC")</f>
        <v>HUIMBAYOC</v>
      </c>
      <c r="H1881" s="25" t="str">
        <f ca="1">IFERROR(__xludf.DUMMYFUNCTION("""COMPUTED_VALUE"""),"RURAL")</f>
        <v>RURAL</v>
      </c>
      <c r="I1881" s="25" t="str">
        <f ca="1">IFERROR(__xludf.DUMMYFUNCTION("""COMPUTED_VALUE"""),"Prioridad 3")</f>
        <v>Prioridad 3</v>
      </c>
      <c r="J1881" s="43" t="s">
        <v>261</v>
      </c>
    </row>
    <row r="1882" spans="2:10">
      <c r="B1882" s="25" t="str">
        <f ca="1">IFERROR(__xludf.DUMMYFUNCTION("""COMPUTED_VALUE"""),"MUNICIPALIDAD DISTRITAL")</f>
        <v>MUNICIPALIDAD DISTRITAL</v>
      </c>
      <c r="C1882" s="25" t="str">
        <f ca="1">IFERROR(__xludf.DUMMYFUNCTION("""COMPUTED_VALUE"""),"MUNICIPALIDAD DISTRITAL DE JUAN GUERRA")</f>
        <v>MUNICIPALIDAD DISTRITAL DE JUAN GUERRA</v>
      </c>
      <c r="D1882" s="25" t="str">
        <f ca="1">IFERROR(__xludf.DUMMYFUNCTION("""COMPUTED_VALUE"""),"SAN MARTÍN")</f>
        <v>SAN MARTÍN</v>
      </c>
      <c r="E1882" s="25" t="str">
        <f ca="1">IFERROR(__xludf.DUMMYFUNCTION("""COMPUTED_VALUE"""),"SAN MARTÍN")</f>
        <v>SAN MARTÍN</v>
      </c>
      <c r="F1882" s="25" t="str">
        <f ca="1">IFERROR(__xludf.DUMMYFUNCTION("""COMPUTED_VALUE"""),"SAN MARTIN")</f>
        <v>SAN MARTIN</v>
      </c>
      <c r="G1882" s="25" t="str">
        <f ca="1">IFERROR(__xludf.DUMMYFUNCTION("""COMPUTED_VALUE"""),"JUAN GUERRA")</f>
        <v>JUAN GUERRA</v>
      </c>
      <c r="H1882" s="25" t="str">
        <f ca="1">IFERROR(__xludf.DUMMYFUNCTION("""COMPUTED_VALUE"""),"URBANO")</f>
        <v>URBANO</v>
      </c>
      <c r="I1882" s="25" t="str">
        <f ca="1">IFERROR(__xludf.DUMMYFUNCTION("""COMPUTED_VALUE"""),"Prioridad 1")</f>
        <v>Prioridad 1</v>
      </c>
      <c r="J1882" s="43" t="s">
        <v>261</v>
      </c>
    </row>
    <row r="1883" spans="2:10">
      <c r="B1883" s="25" t="str">
        <f ca="1">IFERROR(__xludf.DUMMYFUNCTION("""COMPUTED_VALUE"""),"MUNICIPALIDAD DISTRITAL")</f>
        <v>MUNICIPALIDAD DISTRITAL</v>
      </c>
      <c r="C1883" s="25" t="str">
        <f ca="1">IFERROR(__xludf.DUMMYFUNCTION("""COMPUTED_VALUE"""),"MUNICIPALIDAD DISTRITAL DE LA BANDA DE SHILCAYO")</f>
        <v>MUNICIPALIDAD DISTRITAL DE LA BANDA DE SHILCAYO</v>
      </c>
      <c r="D1883" s="25" t="str">
        <f ca="1">IFERROR(__xludf.DUMMYFUNCTION("""COMPUTED_VALUE"""),"SAN MARTÍN")</f>
        <v>SAN MARTÍN</v>
      </c>
      <c r="E1883" s="25" t="str">
        <f ca="1">IFERROR(__xludf.DUMMYFUNCTION("""COMPUTED_VALUE"""),"SAN MARTÍN")</f>
        <v>SAN MARTÍN</v>
      </c>
      <c r="F1883" s="25" t="str">
        <f ca="1">IFERROR(__xludf.DUMMYFUNCTION("""COMPUTED_VALUE"""),"SAN MARTIN")</f>
        <v>SAN MARTIN</v>
      </c>
      <c r="G1883" s="25" t="str">
        <f ca="1">IFERROR(__xludf.DUMMYFUNCTION("""COMPUTED_VALUE"""),"LA BANDA DE SHILCAYO")</f>
        <v>LA BANDA DE SHILCAYO</v>
      </c>
      <c r="H1883" s="25" t="str">
        <f ca="1">IFERROR(__xludf.DUMMYFUNCTION("""COMPUTED_VALUE"""),"URBANO")</f>
        <v>URBANO</v>
      </c>
      <c r="I1883" s="25" t="str">
        <f ca="1">IFERROR(__xludf.DUMMYFUNCTION("""COMPUTED_VALUE"""),"Prioridad 1")</f>
        <v>Prioridad 1</v>
      </c>
      <c r="J1883" s="42" t="s">
        <v>260</v>
      </c>
    </row>
    <row r="1884" spans="2:10">
      <c r="B1884" s="25" t="str">
        <f ca="1">IFERROR(__xludf.DUMMYFUNCTION("""COMPUTED_VALUE"""),"MUNICIPALIDAD DISTRITAL")</f>
        <v>MUNICIPALIDAD DISTRITAL</v>
      </c>
      <c r="C1884" s="25" t="str">
        <f ca="1">IFERROR(__xludf.DUMMYFUNCTION("""COMPUTED_VALUE"""),"MUNICIPALIDAD DISTRITAL DE MORALES")</f>
        <v>MUNICIPALIDAD DISTRITAL DE MORALES</v>
      </c>
      <c r="D1884" s="25" t="str">
        <f ca="1">IFERROR(__xludf.DUMMYFUNCTION("""COMPUTED_VALUE"""),"SAN MARTÍN")</f>
        <v>SAN MARTÍN</v>
      </c>
      <c r="E1884" s="25" t="str">
        <f ca="1">IFERROR(__xludf.DUMMYFUNCTION("""COMPUTED_VALUE"""),"SAN MARTÍN")</f>
        <v>SAN MARTÍN</v>
      </c>
      <c r="F1884" s="25" t="str">
        <f ca="1">IFERROR(__xludf.DUMMYFUNCTION("""COMPUTED_VALUE"""),"SAN MARTIN")</f>
        <v>SAN MARTIN</v>
      </c>
      <c r="G1884" s="25" t="str">
        <f ca="1">IFERROR(__xludf.DUMMYFUNCTION("""COMPUTED_VALUE"""),"MORALES")</f>
        <v>MORALES</v>
      </c>
      <c r="H1884" s="25" t="str">
        <f ca="1">IFERROR(__xludf.DUMMYFUNCTION("""COMPUTED_VALUE"""),"URBANO")</f>
        <v>URBANO</v>
      </c>
      <c r="I1884" s="25" t="str">
        <f ca="1">IFERROR(__xludf.DUMMYFUNCTION("""COMPUTED_VALUE"""),"Prioridad 1")</f>
        <v>Prioridad 1</v>
      </c>
      <c r="J1884" s="42" t="s">
        <v>260</v>
      </c>
    </row>
    <row r="1885" spans="2:10">
      <c r="B1885" s="25" t="str">
        <f ca="1">IFERROR(__xludf.DUMMYFUNCTION("""COMPUTED_VALUE"""),"MUNICIPALIDAD DISTRITAL")</f>
        <v>MUNICIPALIDAD DISTRITAL</v>
      </c>
      <c r="C1885" s="25" t="str">
        <f ca="1">IFERROR(__xludf.DUMMYFUNCTION("""COMPUTED_VALUE"""),"MUNICIPALIDAD DISTRITAL DE PAPAPLAYA")</f>
        <v>MUNICIPALIDAD DISTRITAL DE PAPAPLAYA</v>
      </c>
      <c r="D1885" s="25" t="str">
        <f ca="1">IFERROR(__xludf.DUMMYFUNCTION("""COMPUTED_VALUE"""),"SAN MARTÍN")</f>
        <v>SAN MARTÍN</v>
      </c>
      <c r="E1885" s="25" t="str">
        <f ca="1">IFERROR(__xludf.DUMMYFUNCTION("""COMPUTED_VALUE"""),"SAN MARTÍN")</f>
        <v>SAN MARTÍN</v>
      </c>
      <c r="F1885" s="25" t="str">
        <f ca="1">IFERROR(__xludf.DUMMYFUNCTION("""COMPUTED_VALUE"""),"SAN MARTIN")</f>
        <v>SAN MARTIN</v>
      </c>
      <c r="G1885" s="25" t="str">
        <f ca="1">IFERROR(__xludf.DUMMYFUNCTION("""COMPUTED_VALUE"""),"PAPAPLAYA")</f>
        <v>PAPAPLAYA</v>
      </c>
      <c r="H1885" s="25" t="str">
        <f ca="1">IFERROR(__xludf.DUMMYFUNCTION("""COMPUTED_VALUE"""),"RURAL")</f>
        <v>RURAL</v>
      </c>
      <c r="I1885" s="25" t="str">
        <f ca="1">IFERROR(__xludf.DUMMYFUNCTION("""COMPUTED_VALUE"""),"Prioridad 3")</f>
        <v>Prioridad 3</v>
      </c>
      <c r="J1885" s="42" t="s">
        <v>260</v>
      </c>
    </row>
    <row r="1886" spans="2:10">
      <c r="B1886" s="25" t="str">
        <f ca="1">IFERROR(__xludf.DUMMYFUNCTION("""COMPUTED_VALUE"""),"MUNICIPALIDAD DISTRITAL")</f>
        <v>MUNICIPALIDAD DISTRITAL</v>
      </c>
      <c r="C1886" s="25" t="str">
        <f ca="1">IFERROR(__xludf.DUMMYFUNCTION("""COMPUTED_VALUE"""),"MUNICIPALIDAD DISTRITAL DE SAN ANTONIO EN SAN MARTIN")</f>
        <v>MUNICIPALIDAD DISTRITAL DE SAN ANTONIO EN SAN MARTIN</v>
      </c>
      <c r="D1886" s="25" t="str">
        <f ca="1">IFERROR(__xludf.DUMMYFUNCTION("""COMPUTED_VALUE"""),"SAN MARTÍN")</f>
        <v>SAN MARTÍN</v>
      </c>
      <c r="E1886" s="25" t="str">
        <f ca="1">IFERROR(__xludf.DUMMYFUNCTION("""COMPUTED_VALUE"""),"SAN MARTÍN")</f>
        <v>SAN MARTÍN</v>
      </c>
      <c r="F1886" s="25" t="str">
        <f ca="1">IFERROR(__xludf.DUMMYFUNCTION("""COMPUTED_VALUE"""),"SAN MARTIN")</f>
        <v>SAN MARTIN</v>
      </c>
      <c r="G1886" s="25" t="str">
        <f ca="1">IFERROR(__xludf.DUMMYFUNCTION("""COMPUTED_VALUE"""),"SAN ANTONIO")</f>
        <v>SAN ANTONIO</v>
      </c>
      <c r="H1886" s="25" t="str">
        <f ca="1">IFERROR(__xludf.DUMMYFUNCTION("""COMPUTED_VALUE"""),"RURAL")</f>
        <v>RURAL</v>
      </c>
      <c r="I1886" s="25" t="str">
        <f ca="1">IFERROR(__xludf.DUMMYFUNCTION("""COMPUTED_VALUE"""),"Prioridad 2")</f>
        <v>Prioridad 2</v>
      </c>
      <c r="J1886" s="42" t="s">
        <v>260</v>
      </c>
    </row>
    <row r="1887" spans="2:10">
      <c r="B1887" s="25" t="str">
        <f ca="1">IFERROR(__xludf.DUMMYFUNCTION("""COMPUTED_VALUE"""),"MUNICIPALIDAD DISTRITAL")</f>
        <v>MUNICIPALIDAD DISTRITAL</v>
      </c>
      <c r="C1887" s="25" t="str">
        <f ca="1">IFERROR(__xludf.DUMMYFUNCTION("""COMPUTED_VALUE"""),"MUNICIPALIDAD DISTRITAL DE SAUCE")</f>
        <v>MUNICIPALIDAD DISTRITAL DE SAUCE</v>
      </c>
      <c r="D1887" s="25" t="str">
        <f ca="1">IFERROR(__xludf.DUMMYFUNCTION("""COMPUTED_VALUE"""),"SAN MARTÍN")</f>
        <v>SAN MARTÍN</v>
      </c>
      <c r="E1887" s="25" t="str">
        <f ca="1">IFERROR(__xludf.DUMMYFUNCTION("""COMPUTED_VALUE"""),"SAN MARTÍN")</f>
        <v>SAN MARTÍN</v>
      </c>
      <c r="F1887" s="25" t="str">
        <f ca="1">IFERROR(__xludf.DUMMYFUNCTION("""COMPUTED_VALUE"""),"SAN MARTIN")</f>
        <v>SAN MARTIN</v>
      </c>
      <c r="G1887" s="25" t="str">
        <f ca="1">IFERROR(__xludf.DUMMYFUNCTION("""COMPUTED_VALUE"""),"SAUCE")</f>
        <v>SAUCE</v>
      </c>
      <c r="H1887" s="25" t="str">
        <f ca="1">IFERROR(__xludf.DUMMYFUNCTION("""COMPUTED_VALUE"""),"URBANO")</f>
        <v>URBANO</v>
      </c>
      <c r="I1887" s="25" t="str">
        <f ca="1">IFERROR(__xludf.DUMMYFUNCTION("""COMPUTED_VALUE"""),"Prioridad 2")</f>
        <v>Prioridad 2</v>
      </c>
      <c r="J1887" s="42" t="s">
        <v>260</v>
      </c>
    </row>
    <row r="1888" spans="2:10">
      <c r="B1888" s="25" t="str">
        <f ca="1">IFERROR(__xludf.DUMMYFUNCTION("""COMPUTED_VALUE"""),"MUNICIPALIDAD DISTRITAL")</f>
        <v>MUNICIPALIDAD DISTRITAL</v>
      </c>
      <c r="C1888" s="25" t="str">
        <f ca="1">IFERROR(__xludf.DUMMYFUNCTION("""COMPUTED_VALUE"""),"MUNICIPALIDAD DISTRITAL DE SHAPAJA")</f>
        <v>MUNICIPALIDAD DISTRITAL DE SHAPAJA</v>
      </c>
      <c r="D1888" s="25" t="str">
        <f ca="1">IFERROR(__xludf.DUMMYFUNCTION("""COMPUTED_VALUE"""),"SAN MARTÍN")</f>
        <v>SAN MARTÍN</v>
      </c>
      <c r="E1888" s="25" t="str">
        <f ca="1">IFERROR(__xludf.DUMMYFUNCTION("""COMPUTED_VALUE"""),"SAN MARTÍN")</f>
        <v>SAN MARTÍN</v>
      </c>
      <c r="F1888" s="25" t="str">
        <f ca="1">IFERROR(__xludf.DUMMYFUNCTION("""COMPUTED_VALUE"""),"SAN MARTIN")</f>
        <v>SAN MARTIN</v>
      </c>
      <c r="G1888" s="25" t="str">
        <f ca="1">IFERROR(__xludf.DUMMYFUNCTION("""COMPUTED_VALUE"""),"SHAPAJA")</f>
        <v>SHAPAJA</v>
      </c>
      <c r="H1888" s="25" t="str">
        <f ca="1">IFERROR(__xludf.DUMMYFUNCTION("""COMPUTED_VALUE"""),"RURAL")</f>
        <v>RURAL</v>
      </c>
      <c r="I1888" s="25" t="str">
        <f ca="1">IFERROR(__xludf.DUMMYFUNCTION("""COMPUTED_VALUE"""),"Prioridad 2")</f>
        <v>Prioridad 2</v>
      </c>
      <c r="J1888" s="42" t="s">
        <v>260</v>
      </c>
    </row>
    <row r="1889" spans="2:10">
      <c r="B1889" s="25" t="str">
        <f ca="1">IFERROR(__xludf.DUMMYFUNCTION("""COMPUTED_VALUE"""),"MUNICIPALIDAD PROVINCIAL")</f>
        <v>MUNICIPALIDAD PROVINCIAL</v>
      </c>
      <c r="C1889" s="25" t="str">
        <f ca="1">IFERROR(__xludf.DUMMYFUNCTION("""COMPUTED_VALUE"""),"MUNICIPALIDAD PROVINCIAL DE TOCACHE")</f>
        <v>MUNICIPALIDAD PROVINCIAL DE TOCACHE</v>
      </c>
      <c r="D1889" s="25" t="str">
        <f ca="1">IFERROR(__xludf.DUMMYFUNCTION("""COMPUTED_VALUE"""),"SAN MARTÍN")</f>
        <v>SAN MARTÍN</v>
      </c>
      <c r="E1889" s="25" t="str">
        <f ca="1">IFERROR(__xludf.DUMMYFUNCTION("""COMPUTED_VALUE"""),"SAN MARTÍN")</f>
        <v>SAN MARTÍN</v>
      </c>
      <c r="F1889" s="25" t="str">
        <f ca="1">IFERROR(__xludf.DUMMYFUNCTION("""COMPUTED_VALUE"""),"TOCACHE")</f>
        <v>TOCACHE</v>
      </c>
      <c r="G1889" s="25" t="str">
        <f ca="1">IFERROR(__xludf.DUMMYFUNCTION("""COMPUTED_VALUE"""),"TOCACHE")</f>
        <v>TOCACHE</v>
      </c>
      <c r="H1889" s="25" t="str">
        <f ca="1">IFERROR(__xludf.DUMMYFUNCTION("""COMPUTED_VALUE"""),"URBANO")</f>
        <v>URBANO</v>
      </c>
      <c r="I1889" s="25" t="str">
        <f ca="1">IFERROR(__xludf.DUMMYFUNCTION("""COMPUTED_VALUE"""),"Prioridad 1")</f>
        <v>Prioridad 1</v>
      </c>
      <c r="J1889" s="42" t="s">
        <v>260</v>
      </c>
    </row>
    <row r="1890" spans="2:10">
      <c r="B1890" s="25" t="str">
        <f ca="1">IFERROR(__xludf.DUMMYFUNCTION("""COMPUTED_VALUE"""),"MUNICIPALIDAD DISTRITAL")</f>
        <v>MUNICIPALIDAD DISTRITAL</v>
      </c>
      <c r="C1890" s="25" t="str">
        <f ca="1">IFERROR(__xludf.DUMMYFUNCTION("""COMPUTED_VALUE"""),"MUNICIPALIDAD DISTRITAL DE NUEVO PROGRESO")</f>
        <v>MUNICIPALIDAD DISTRITAL DE NUEVO PROGRESO</v>
      </c>
      <c r="D1890" s="25" t="str">
        <f ca="1">IFERROR(__xludf.DUMMYFUNCTION("""COMPUTED_VALUE"""),"SAN MARTÍN")</f>
        <v>SAN MARTÍN</v>
      </c>
      <c r="E1890" s="25" t="str">
        <f ca="1">IFERROR(__xludf.DUMMYFUNCTION("""COMPUTED_VALUE"""),"SAN MARTÍN")</f>
        <v>SAN MARTÍN</v>
      </c>
      <c r="F1890" s="25" t="str">
        <f ca="1">IFERROR(__xludf.DUMMYFUNCTION("""COMPUTED_VALUE"""),"TOCACHE")</f>
        <v>TOCACHE</v>
      </c>
      <c r="G1890" s="25" t="str">
        <f ca="1">IFERROR(__xludf.DUMMYFUNCTION("""COMPUTED_VALUE"""),"NUEVO PROGRESO")</f>
        <v>NUEVO PROGRESO</v>
      </c>
      <c r="H1890" s="25" t="str">
        <f ca="1">IFERROR(__xludf.DUMMYFUNCTION("""COMPUTED_VALUE"""),"RURAL")</f>
        <v>RURAL</v>
      </c>
      <c r="I1890" s="25" t="str">
        <f ca="1">IFERROR(__xludf.DUMMYFUNCTION("""COMPUTED_VALUE"""),"Prioridad 3")</f>
        <v>Prioridad 3</v>
      </c>
      <c r="J1890" s="42" t="s">
        <v>260</v>
      </c>
    </row>
    <row r="1891" spans="2:10">
      <c r="B1891" s="25" t="str">
        <f ca="1">IFERROR(__xludf.DUMMYFUNCTION("""COMPUTED_VALUE"""),"MUNICIPALIDAD DISTRITAL")</f>
        <v>MUNICIPALIDAD DISTRITAL</v>
      </c>
      <c r="C1891" s="25" t="str">
        <f ca="1">IFERROR(__xludf.DUMMYFUNCTION("""COMPUTED_VALUE"""),"MUNICIPALIDAD DISTRITAL DE POLVORA")</f>
        <v>MUNICIPALIDAD DISTRITAL DE POLVORA</v>
      </c>
      <c r="D1891" s="25" t="str">
        <f ca="1">IFERROR(__xludf.DUMMYFUNCTION("""COMPUTED_VALUE"""),"SAN MARTÍN")</f>
        <v>SAN MARTÍN</v>
      </c>
      <c r="E1891" s="25" t="str">
        <f ca="1">IFERROR(__xludf.DUMMYFUNCTION("""COMPUTED_VALUE"""),"SAN MARTÍN")</f>
        <v>SAN MARTÍN</v>
      </c>
      <c r="F1891" s="25" t="str">
        <f ca="1">IFERROR(__xludf.DUMMYFUNCTION("""COMPUTED_VALUE"""),"TOCACHE")</f>
        <v>TOCACHE</v>
      </c>
      <c r="G1891" s="25" t="str">
        <f ca="1">IFERROR(__xludf.DUMMYFUNCTION("""COMPUTED_VALUE"""),"POLVORA")</f>
        <v>POLVORA</v>
      </c>
      <c r="H1891" s="25" t="str">
        <f ca="1">IFERROR(__xludf.DUMMYFUNCTION("""COMPUTED_VALUE"""),"RURAL")</f>
        <v>RURAL</v>
      </c>
      <c r="I1891" s="25" t="str">
        <f ca="1">IFERROR(__xludf.DUMMYFUNCTION("""COMPUTED_VALUE"""),"Prioridad 3")</f>
        <v>Prioridad 3</v>
      </c>
      <c r="J1891" s="42" t="s">
        <v>260</v>
      </c>
    </row>
    <row r="1892" spans="2:10">
      <c r="B1892" s="25" t="str">
        <f ca="1">IFERROR(__xludf.DUMMYFUNCTION("""COMPUTED_VALUE"""),"MUNICIPALIDAD DISTRITAL")</f>
        <v>MUNICIPALIDAD DISTRITAL</v>
      </c>
      <c r="C1892" s="25" t="str">
        <f ca="1">IFERROR(__xludf.DUMMYFUNCTION("""COMPUTED_VALUE"""),"MUNICIPALIDAD DISTRITAL DE SHUNTE")</f>
        <v>MUNICIPALIDAD DISTRITAL DE SHUNTE</v>
      </c>
      <c r="D1892" s="25" t="str">
        <f ca="1">IFERROR(__xludf.DUMMYFUNCTION("""COMPUTED_VALUE"""),"SAN MARTÍN")</f>
        <v>SAN MARTÍN</v>
      </c>
      <c r="E1892" s="25" t="str">
        <f ca="1">IFERROR(__xludf.DUMMYFUNCTION("""COMPUTED_VALUE"""),"SAN MARTÍN")</f>
        <v>SAN MARTÍN</v>
      </c>
      <c r="F1892" s="25" t="str">
        <f ca="1">IFERROR(__xludf.DUMMYFUNCTION("""COMPUTED_VALUE"""),"TOCACHE")</f>
        <v>TOCACHE</v>
      </c>
      <c r="G1892" s="25" t="str">
        <f ca="1">IFERROR(__xludf.DUMMYFUNCTION("""COMPUTED_VALUE"""),"SHUNTE")</f>
        <v>SHUNTE</v>
      </c>
      <c r="H1892" s="25" t="str">
        <f ca="1">IFERROR(__xludf.DUMMYFUNCTION("""COMPUTED_VALUE"""),"RURAL")</f>
        <v>RURAL</v>
      </c>
      <c r="I1892" s="25" t="str">
        <f ca="1">IFERROR(__xludf.DUMMYFUNCTION("""COMPUTED_VALUE"""),"Prioridad 3")</f>
        <v>Prioridad 3</v>
      </c>
      <c r="J1892" s="42" t="s">
        <v>260</v>
      </c>
    </row>
    <row r="1893" spans="2:10">
      <c r="B1893" s="25" t="str">
        <f ca="1">IFERROR(__xludf.DUMMYFUNCTION("""COMPUTED_VALUE"""),"MUNICIPALIDAD DISTRITAL")</f>
        <v>MUNICIPALIDAD DISTRITAL</v>
      </c>
      <c r="C1893" s="25" t="str">
        <f ca="1">IFERROR(__xludf.DUMMYFUNCTION("""COMPUTED_VALUE"""),"MUNICIPALIDAD DISTRITAL DE UCHIZA")</f>
        <v>MUNICIPALIDAD DISTRITAL DE UCHIZA</v>
      </c>
      <c r="D1893" s="25" t="str">
        <f ca="1">IFERROR(__xludf.DUMMYFUNCTION("""COMPUTED_VALUE"""),"SAN MARTÍN")</f>
        <v>SAN MARTÍN</v>
      </c>
      <c r="E1893" s="25" t="str">
        <f ca="1">IFERROR(__xludf.DUMMYFUNCTION("""COMPUTED_VALUE"""),"SAN MARTÍN")</f>
        <v>SAN MARTÍN</v>
      </c>
      <c r="F1893" s="25" t="str">
        <f ca="1">IFERROR(__xludf.DUMMYFUNCTION("""COMPUTED_VALUE"""),"TOCACHE")</f>
        <v>TOCACHE</v>
      </c>
      <c r="G1893" s="25" t="str">
        <f ca="1">IFERROR(__xludf.DUMMYFUNCTION("""COMPUTED_VALUE"""),"UCHIZA")</f>
        <v>UCHIZA</v>
      </c>
      <c r="H1893" s="25" t="str">
        <f ca="1">IFERROR(__xludf.DUMMYFUNCTION("""COMPUTED_VALUE"""),"URBANO")</f>
        <v>URBANO</v>
      </c>
      <c r="I1893" s="25" t="str">
        <f ca="1">IFERROR(__xludf.DUMMYFUNCTION("""COMPUTED_VALUE"""),"Prioridad 3")</f>
        <v>Prioridad 3</v>
      </c>
      <c r="J1893" s="42" t="s">
        <v>260</v>
      </c>
    </row>
    <row r="1894" spans="2:10">
      <c r="B1894" s="25" t="str">
        <f ca="1">IFERROR(__xludf.DUMMYFUNCTION("""COMPUTED_VALUE"""),"MUNICIPALIDAD PROVINCIAL")</f>
        <v>MUNICIPALIDAD PROVINCIAL</v>
      </c>
      <c r="C1894" s="25" t="str">
        <f ca="1">IFERROR(__xludf.DUMMYFUNCTION("""COMPUTED_VALUE"""),"MUNICIPALIDAD PROVINCIAL DE CANDARAVE")</f>
        <v>MUNICIPALIDAD PROVINCIAL DE CANDARAVE</v>
      </c>
      <c r="D1894" s="25" t="str">
        <f ca="1">IFERROR(__xludf.DUMMYFUNCTION("""COMPUTED_VALUE"""),"TACNA")</f>
        <v>TACNA</v>
      </c>
      <c r="E1894" s="25" t="str">
        <f ca="1">IFERROR(__xludf.DUMMYFUNCTION("""COMPUTED_VALUE"""),"TACNA")</f>
        <v>TACNA</v>
      </c>
      <c r="F1894" s="25" t="str">
        <f ca="1">IFERROR(__xludf.DUMMYFUNCTION("""COMPUTED_VALUE"""),"CANDARAVE")</f>
        <v>CANDARAVE</v>
      </c>
      <c r="G1894" s="25" t="str">
        <f ca="1">IFERROR(__xludf.DUMMYFUNCTION("""COMPUTED_VALUE"""),"CANDARAVE")</f>
        <v>CANDARAVE</v>
      </c>
      <c r="H1894" s="25" t="str">
        <f ca="1">IFERROR(__xludf.DUMMYFUNCTION("""COMPUTED_VALUE"""),"RURAL")</f>
        <v>RURAL</v>
      </c>
      <c r="I1894" s="25" t="str">
        <f ca="1">IFERROR(__xludf.DUMMYFUNCTION("""COMPUTED_VALUE"""),"Prioridad 1")</f>
        <v>Prioridad 1</v>
      </c>
      <c r="J1894" s="42" t="s">
        <v>260</v>
      </c>
    </row>
    <row r="1895" spans="2:10">
      <c r="B1895" s="25" t="str">
        <f ca="1">IFERROR(__xludf.DUMMYFUNCTION("""COMPUTED_VALUE"""),"MUNICIPALIDAD DISTRITAL")</f>
        <v>MUNICIPALIDAD DISTRITAL</v>
      </c>
      <c r="C1895" s="25" t="str">
        <f ca="1">IFERROR(__xludf.DUMMYFUNCTION("""COMPUTED_VALUE"""),"MUNICIPALIDAD DISTRITAL DE CAIRANI")</f>
        <v>MUNICIPALIDAD DISTRITAL DE CAIRANI</v>
      </c>
      <c r="D1895" s="25" t="str">
        <f ca="1">IFERROR(__xludf.DUMMYFUNCTION("""COMPUTED_VALUE"""),"TACNA")</f>
        <v>TACNA</v>
      </c>
      <c r="E1895" s="25" t="str">
        <f ca="1">IFERROR(__xludf.DUMMYFUNCTION("""COMPUTED_VALUE"""),"TACNA")</f>
        <v>TACNA</v>
      </c>
      <c r="F1895" s="25" t="str">
        <f ca="1">IFERROR(__xludf.DUMMYFUNCTION("""COMPUTED_VALUE"""),"CANDARAVE")</f>
        <v>CANDARAVE</v>
      </c>
      <c r="G1895" s="25" t="str">
        <f ca="1">IFERROR(__xludf.DUMMYFUNCTION("""COMPUTED_VALUE"""),"CAIRANI")</f>
        <v>CAIRANI</v>
      </c>
      <c r="H1895" s="25" t="str">
        <f ca="1">IFERROR(__xludf.DUMMYFUNCTION("""COMPUTED_VALUE"""),"RURAL")</f>
        <v>RURAL</v>
      </c>
      <c r="I1895" s="25" t="str">
        <f ca="1">IFERROR(__xludf.DUMMYFUNCTION("""COMPUTED_VALUE"""),"Prioridad 4")</f>
        <v>Prioridad 4</v>
      </c>
      <c r="J1895" s="42" t="s">
        <v>260</v>
      </c>
    </row>
    <row r="1896" spans="2:10">
      <c r="B1896" s="25" t="str">
        <f ca="1">IFERROR(__xludf.DUMMYFUNCTION("""COMPUTED_VALUE"""),"MUNICIPALIDAD DISTRITAL")</f>
        <v>MUNICIPALIDAD DISTRITAL</v>
      </c>
      <c r="C1896" s="25" t="str">
        <f ca="1">IFERROR(__xludf.DUMMYFUNCTION("""COMPUTED_VALUE"""),"MUNICIPALIDAD DISTRITAL DE CAMILACA")</f>
        <v>MUNICIPALIDAD DISTRITAL DE CAMILACA</v>
      </c>
      <c r="D1896" s="25" t="str">
        <f ca="1">IFERROR(__xludf.DUMMYFUNCTION("""COMPUTED_VALUE"""),"TACNA")</f>
        <v>TACNA</v>
      </c>
      <c r="E1896" s="25" t="str">
        <f ca="1">IFERROR(__xludf.DUMMYFUNCTION("""COMPUTED_VALUE"""),"TACNA")</f>
        <v>TACNA</v>
      </c>
      <c r="F1896" s="25" t="str">
        <f ca="1">IFERROR(__xludf.DUMMYFUNCTION("""COMPUTED_VALUE"""),"CANDARAVE")</f>
        <v>CANDARAVE</v>
      </c>
      <c r="G1896" s="25" t="str">
        <f ca="1">IFERROR(__xludf.DUMMYFUNCTION("""COMPUTED_VALUE"""),"CAMILACA")</f>
        <v>CAMILACA</v>
      </c>
      <c r="H1896" s="25" t="str">
        <f ca="1">IFERROR(__xludf.DUMMYFUNCTION("""COMPUTED_VALUE"""),"RURAL")</f>
        <v>RURAL</v>
      </c>
      <c r="I1896" s="25" t="str">
        <f ca="1">IFERROR(__xludf.DUMMYFUNCTION("""COMPUTED_VALUE"""),"Prioridad 2")</f>
        <v>Prioridad 2</v>
      </c>
      <c r="J1896" s="42" t="s">
        <v>260</v>
      </c>
    </row>
    <row r="1897" spans="2:10">
      <c r="B1897" s="25" t="str">
        <f ca="1">IFERROR(__xludf.DUMMYFUNCTION("""COMPUTED_VALUE"""),"MUNICIPALIDAD DISTRITAL")</f>
        <v>MUNICIPALIDAD DISTRITAL</v>
      </c>
      <c r="C1897" s="25" t="str">
        <f ca="1">IFERROR(__xludf.DUMMYFUNCTION("""COMPUTED_VALUE"""),"MUNICIPALIDAD DISTRITAL DE CURIBAYA")</f>
        <v>MUNICIPALIDAD DISTRITAL DE CURIBAYA</v>
      </c>
      <c r="D1897" s="25" t="str">
        <f ca="1">IFERROR(__xludf.DUMMYFUNCTION("""COMPUTED_VALUE"""),"TACNA")</f>
        <v>TACNA</v>
      </c>
      <c r="E1897" s="25" t="str">
        <f ca="1">IFERROR(__xludf.DUMMYFUNCTION("""COMPUTED_VALUE"""),"TACNA")</f>
        <v>TACNA</v>
      </c>
      <c r="F1897" s="25" t="str">
        <f ca="1">IFERROR(__xludf.DUMMYFUNCTION("""COMPUTED_VALUE"""),"CANDARAVE")</f>
        <v>CANDARAVE</v>
      </c>
      <c r="G1897" s="25" t="str">
        <f ca="1">IFERROR(__xludf.DUMMYFUNCTION("""COMPUTED_VALUE"""),"CURIBAYA")</f>
        <v>CURIBAYA</v>
      </c>
      <c r="H1897" s="25" t="str">
        <f ca="1">IFERROR(__xludf.DUMMYFUNCTION("""COMPUTED_VALUE"""),"RURAL")</f>
        <v>RURAL</v>
      </c>
      <c r="I1897" s="25" t="str">
        <f ca="1">IFERROR(__xludf.DUMMYFUNCTION("""COMPUTED_VALUE"""),"Prioridad 4")</f>
        <v>Prioridad 4</v>
      </c>
      <c r="J1897" s="42" t="s">
        <v>260</v>
      </c>
    </row>
    <row r="1898" spans="2:10">
      <c r="B1898" s="25" t="str">
        <f ca="1">IFERROR(__xludf.DUMMYFUNCTION("""COMPUTED_VALUE"""),"MUNICIPALIDAD DISTRITAL")</f>
        <v>MUNICIPALIDAD DISTRITAL</v>
      </c>
      <c r="C1898" s="25" t="str">
        <f ca="1">IFERROR(__xludf.DUMMYFUNCTION("""COMPUTED_VALUE"""),"MUNICIPALIDAD DISTRITAL DE HUANUARA")</f>
        <v>MUNICIPALIDAD DISTRITAL DE HUANUARA</v>
      </c>
      <c r="D1898" s="25" t="str">
        <f ca="1">IFERROR(__xludf.DUMMYFUNCTION("""COMPUTED_VALUE"""),"TACNA")</f>
        <v>TACNA</v>
      </c>
      <c r="E1898" s="25" t="str">
        <f ca="1">IFERROR(__xludf.DUMMYFUNCTION("""COMPUTED_VALUE"""),"TACNA")</f>
        <v>TACNA</v>
      </c>
      <c r="F1898" s="25" t="str">
        <f ca="1">IFERROR(__xludf.DUMMYFUNCTION("""COMPUTED_VALUE"""),"CANDARAVE")</f>
        <v>CANDARAVE</v>
      </c>
      <c r="G1898" s="25" t="str">
        <f ca="1">IFERROR(__xludf.DUMMYFUNCTION("""COMPUTED_VALUE"""),"HUANUARA")</f>
        <v>HUANUARA</v>
      </c>
      <c r="H1898" s="25" t="str">
        <f ca="1">IFERROR(__xludf.DUMMYFUNCTION("""COMPUTED_VALUE"""),"RURAL")</f>
        <v>RURAL</v>
      </c>
      <c r="I1898" s="25" t="str">
        <f ca="1">IFERROR(__xludf.DUMMYFUNCTION("""COMPUTED_VALUE"""),"Prioridad 4")</f>
        <v>Prioridad 4</v>
      </c>
      <c r="J1898" s="42" t="s">
        <v>260</v>
      </c>
    </row>
    <row r="1899" spans="2:10">
      <c r="B1899" s="25" t="str">
        <f ca="1">IFERROR(__xludf.DUMMYFUNCTION("""COMPUTED_VALUE"""),"MUNICIPALIDAD DISTRITAL")</f>
        <v>MUNICIPALIDAD DISTRITAL</v>
      </c>
      <c r="C1899" s="25" t="str">
        <f ca="1">IFERROR(__xludf.DUMMYFUNCTION("""COMPUTED_VALUE"""),"MUNICIPALIDAD DISTRITAL DE QUILAHUANI")</f>
        <v>MUNICIPALIDAD DISTRITAL DE QUILAHUANI</v>
      </c>
      <c r="D1899" s="25" t="str">
        <f ca="1">IFERROR(__xludf.DUMMYFUNCTION("""COMPUTED_VALUE"""),"TACNA")</f>
        <v>TACNA</v>
      </c>
      <c r="E1899" s="25" t="str">
        <f ca="1">IFERROR(__xludf.DUMMYFUNCTION("""COMPUTED_VALUE"""),"TACNA")</f>
        <v>TACNA</v>
      </c>
      <c r="F1899" s="25" t="str">
        <f ca="1">IFERROR(__xludf.DUMMYFUNCTION("""COMPUTED_VALUE"""),"CANDARAVE")</f>
        <v>CANDARAVE</v>
      </c>
      <c r="G1899" s="25" t="str">
        <f ca="1">IFERROR(__xludf.DUMMYFUNCTION("""COMPUTED_VALUE"""),"QUILAHUANI")</f>
        <v>QUILAHUANI</v>
      </c>
      <c r="H1899" s="25" t="str">
        <f ca="1">IFERROR(__xludf.DUMMYFUNCTION("""COMPUTED_VALUE"""),"RURAL")</f>
        <v>RURAL</v>
      </c>
      <c r="I1899" s="25" t="str">
        <f ca="1">IFERROR(__xludf.DUMMYFUNCTION("""COMPUTED_VALUE"""),"Prioridad 4")</f>
        <v>Prioridad 4</v>
      </c>
      <c r="J1899" s="42" t="s">
        <v>260</v>
      </c>
    </row>
    <row r="1900" spans="2:10">
      <c r="B1900" s="25" t="str">
        <f ca="1">IFERROR(__xludf.DUMMYFUNCTION("""COMPUTED_VALUE"""),"MUNICIPALIDAD DISTRITAL")</f>
        <v>MUNICIPALIDAD DISTRITAL</v>
      </c>
      <c r="C1900" s="25" t="str">
        <f ca="1">IFERROR(__xludf.DUMMYFUNCTION("""COMPUTED_VALUE"""),"MUNICIPALIDAD DISTRITAL DE ILABAYA")</f>
        <v>MUNICIPALIDAD DISTRITAL DE ILABAYA</v>
      </c>
      <c r="D1900" s="25" t="str">
        <f ca="1">IFERROR(__xludf.DUMMYFUNCTION("""COMPUTED_VALUE"""),"TACNA")</f>
        <v>TACNA</v>
      </c>
      <c r="E1900" s="25" t="str">
        <f ca="1">IFERROR(__xludf.DUMMYFUNCTION("""COMPUTED_VALUE"""),"TACNA")</f>
        <v>TACNA</v>
      </c>
      <c r="F1900" s="25" t="str">
        <f ca="1">IFERROR(__xludf.DUMMYFUNCTION("""COMPUTED_VALUE"""),"JORGE BASADRE")</f>
        <v>JORGE BASADRE</v>
      </c>
      <c r="G1900" s="25" t="str">
        <f ca="1">IFERROR(__xludf.DUMMYFUNCTION("""COMPUTED_VALUE"""),"ILABAYA")</f>
        <v>ILABAYA</v>
      </c>
      <c r="H1900" s="25" t="str">
        <f ca="1">IFERROR(__xludf.DUMMYFUNCTION("""COMPUTED_VALUE"""),"URBANO")</f>
        <v>URBANO</v>
      </c>
      <c r="I1900" s="25" t="str">
        <f ca="1">IFERROR(__xludf.DUMMYFUNCTION("""COMPUTED_VALUE"""),"Prioridad 1")</f>
        <v>Prioridad 1</v>
      </c>
      <c r="J1900" s="42" t="s">
        <v>260</v>
      </c>
    </row>
    <row r="1901" spans="2:10">
      <c r="B1901" s="25" t="str">
        <f ca="1">IFERROR(__xludf.DUMMYFUNCTION("""COMPUTED_VALUE"""),"MUNICIPALIDAD DISTRITAL")</f>
        <v>MUNICIPALIDAD DISTRITAL</v>
      </c>
      <c r="C1901" s="25" t="str">
        <f ca="1">IFERROR(__xludf.DUMMYFUNCTION("""COMPUTED_VALUE"""),"MUNICIPALIDAD DISTRITAL DE ITE")</f>
        <v>MUNICIPALIDAD DISTRITAL DE ITE</v>
      </c>
      <c r="D1901" s="25" t="str">
        <f ca="1">IFERROR(__xludf.DUMMYFUNCTION("""COMPUTED_VALUE"""),"TACNA")</f>
        <v>TACNA</v>
      </c>
      <c r="E1901" s="25" t="str">
        <f ca="1">IFERROR(__xludf.DUMMYFUNCTION("""COMPUTED_VALUE"""),"TACNA")</f>
        <v>TACNA</v>
      </c>
      <c r="F1901" s="25" t="str">
        <f ca="1">IFERROR(__xludf.DUMMYFUNCTION("""COMPUTED_VALUE"""),"JORGE BASADRE")</f>
        <v>JORGE BASADRE</v>
      </c>
      <c r="G1901" s="25" t="str">
        <f ca="1">IFERROR(__xludf.DUMMYFUNCTION("""COMPUTED_VALUE"""),"ITE")</f>
        <v>ITE</v>
      </c>
      <c r="H1901" s="25" t="str">
        <f ca="1">IFERROR(__xludf.DUMMYFUNCTION("""COMPUTED_VALUE"""),"RURAL")</f>
        <v>RURAL</v>
      </c>
      <c r="I1901" s="25" t="str">
        <f ca="1">IFERROR(__xludf.DUMMYFUNCTION("""COMPUTED_VALUE"""),"Prioridad 2")</f>
        <v>Prioridad 2</v>
      </c>
      <c r="J1901" s="43" t="s">
        <v>263</v>
      </c>
    </row>
    <row r="1902" spans="2:10">
      <c r="B1902" s="25" t="str">
        <f ca="1">IFERROR(__xludf.DUMMYFUNCTION("""COMPUTED_VALUE"""),"MUNICIPALIDAD PROVINCIAL")</f>
        <v>MUNICIPALIDAD PROVINCIAL</v>
      </c>
      <c r="C1902" s="25" t="str">
        <f ca="1">IFERROR(__xludf.DUMMYFUNCTION("""COMPUTED_VALUE"""),"MUNICIPALIDAD PROVINCIAL DE JORGE BASADRE")</f>
        <v>MUNICIPALIDAD PROVINCIAL DE JORGE BASADRE</v>
      </c>
      <c r="D1902" s="25" t="str">
        <f ca="1">IFERROR(__xludf.DUMMYFUNCTION("""COMPUTED_VALUE"""),"TACNA")</f>
        <v>TACNA</v>
      </c>
      <c r="E1902" s="25" t="str">
        <f ca="1">IFERROR(__xludf.DUMMYFUNCTION("""COMPUTED_VALUE"""),"TACNA")</f>
        <v>TACNA</v>
      </c>
      <c r="F1902" s="25" t="str">
        <f ca="1">IFERROR(__xludf.DUMMYFUNCTION("""COMPUTED_VALUE"""),"JORGE BASADRE")</f>
        <v>JORGE BASADRE</v>
      </c>
      <c r="G1902" s="25" t="str">
        <f ca="1">IFERROR(__xludf.DUMMYFUNCTION("""COMPUTED_VALUE"""),"LOCUMBA")</f>
        <v>LOCUMBA</v>
      </c>
      <c r="H1902" s="25" t="str">
        <f ca="1">IFERROR(__xludf.DUMMYFUNCTION("""COMPUTED_VALUE"""),"RURAL")</f>
        <v>RURAL</v>
      </c>
      <c r="I1902" s="25" t="str">
        <f ca="1">IFERROR(__xludf.DUMMYFUNCTION("""COMPUTED_VALUE"""),"Prioridad 1")</f>
        <v>Prioridad 1</v>
      </c>
      <c r="J1902" s="43" t="s">
        <v>262</v>
      </c>
    </row>
    <row r="1903" spans="2:10">
      <c r="B1903" s="25" t="str">
        <f ca="1">IFERROR(__xludf.DUMMYFUNCTION("""COMPUTED_VALUE"""),"MUNICIPALIDAD PROVINCIAL")</f>
        <v>MUNICIPALIDAD PROVINCIAL</v>
      </c>
      <c r="C1903" s="25" t="str">
        <f ca="1">IFERROR(__xludf.DUMMYFUNCTION("""COMPUTED_VALUE"""),"MUNICIPALIDAD PROVINCIAL DE TACNA")</f>
        <v>MUNICIPALIDAD PROVINCIAL DE TACNA</v>
      </c>
      <c r="D1903" s="25" t="str">
        <f ca="1">IFERROR(__xludf.DUMMYFUNCTION("""COMPUTED_VALUE"""),"TACNA")</f>
        <v>TACNA</v>
      </c>
      <c r="E1903" s="25" t="str">
        <f ca="1">IFERROR(__xludf.DUMMYFUNCTION("""COMPUTED_VALUE"""),"TACNA")</f>
        <v>TACNA</v>
      </c>
      <c r="F1903" s="25" t="str">
        <f ca="1">IFERROR(__xludf.DUMMYFUNCTION("""COMPUTED_VALUE"""),"TACNA")</f>
        <v>TACNA</v>
      </c>
      <c r="G1903" s="25" t="str">
        <f ca="1">IFERROR(__xludf.DUMMYFUNCTION("""COMPUTED_VALUE"""),"TACNA")</f>
        <v>TACNA</v>
      </c>
      <c r="H1903" s="25" t="str">
        <f ca="1">IFERROR(__xludf.DUMMYFUNCTION("""COMPUTED_VALUE"""),"URBANO")</f>
        <v>URBANO</v>
      </c>
      <c r="I1903" s="25" t="str">
        <f ca="1">IFERROR(__xludf.DUMMYFUNCTION("""COMPUTED_VALUE"""),"Prioridad 1")</f>
        <v>Prioridad 1</v>
      </c>
      <c r="J1903" s="43" t="s">
        <v>264</v>
      </c>
    </row>
    <row r="1904" spans="2:10">
      <c r="B1904" s="25" t="str">
        <f ca="1">IFERROR(__xludf.DUMMYFUNCTION("""COMPUTED_VALUE"""),"MUNICIPALIDAD DISTRITAL")</f>
        <v>MUNICIPALIDAD DISTRITAL</v>
      </c>
      <c r="C1904" s="25" t="str">
        <f ca="1">IFERROR(__xludf.DUMMYFUNCTION("""COMPUTED_VALUE"""),"MUNICIPALIDAD DISTRITAL DE ALTO DE LA ALIANZA")</f>
        <v>MUNICIPALIDAD DISTRITAL DE ALTO DE LA ALIANZA</v>
      </c>
      <c r="D1904" s="25" t="str">
        <f ca="1">IFERROR(__xludf.DUMMYFUNCTION("""COMPUTED_VALUE"""),"TACNA")</f>
        <v>TACNA</v>
      </c>
      <c r="E1904" s="25" t="str">
        <f ca="1">IFERROR(__xludf.DUMMYFUNCTION("""COMPUTED_VALUE"""),"TACNA")</f>
        <v>TACNA</v>
      </c>
      <c r="F1904" s="25" t="str">
        <f ca="1">IFERROR(__xludf.DUMMYFUNCTION("""COMPUTED_VALUE"""),"TACNA")</f>
        <v>TACNA</v>
      </c>
      <c r="G1904" s="25" t="str">
        <f ca="1">IFERROR(__xludf.DUMMYFUNCTION("""COMPUTED_VALUE"""),"ALTO DE LA ALIANZA")</f>
        <v>ALTO DE LA ALIANZA</v>
      </c>
      <c r="H1904" s="25" t="str">
        <f ca="1">IFERROR(__xludf.DUMMYFUNCTION("""COMPUTED_VALUE"""),"URBANO")</f>
        <v>URBANO</v>
      </c>
      <c r="I1904" s="25" t="str">
        <f ca="1">IFERROR(__xludf.DUMMYFUNCTION("""COMPUTED_VALUE"""),"Prioridad 1")</f>
        <v>Prioridad 1</v>
      </c>
      <c r="J1904" s="43" t="s">
        <v>262</v>
      </c>
    </row>
    <row r="1905" spans="2:10">
      <c r="B1905" s="25" t="str">
        <f ca="1">IFERROR(__xludf.DUMMYFUNCTION("""COMPUTED_VALUE"""),"MUNICIPALIDAD DISTRITAL")</f>
        <v>MUNICIPALIDAD DISTRITAL</v>
      </c>
      <c r="C1905" s="25" t="str">
        <f ca="1">IFERROR(__xludf.DUMMYFUNCTION("""COMPUTED_VALUE"""),"MUNICIPALIDAD DISTRITAL DE PALCA EN TACNA")</f>
        <v>MUNICIPALIDAD DISTRITAL DE PALCA EN TACNA</v>
      </c>
      <c r="D1905" s="25" t="str">
        <f ca="1">IFERROR(__xludf.DUMMYFUNCTION("""COMPUTED_VALUE"""),"TACNA")</f>
        <v>TACNA</v>
      </c>
      <c r="E1905" s="25" t="str">
        <f ca="1">IFERROR(__xludf.DUMMYFUNCTION("""COMPUTED_VALUE"""),"TACNA")</f>
        <v>TACNA</v>
      </c>
      <c r="F1905" s="25" t="str">
        <f ca="1">IFERROR(__xludf.DUMMYFUNCTION("""COMPUTED_VALUE"""),"TACNA")</f>
        <v>TACNA</v>
      </c>
      <c r="G1905" s="25" t="str">
        <f ca="1">IFERROR(__xludf.DUMMYFUNCTION("""COMPUTED_VALUE"""),"PALCA")</f>
        <v>PALCA</v>
      </c>
      <c r="H1905" s="25" t="str">
        <f ca="1">IFERROR(__xludf.DUMMYFUNCTION("""COMPUTED_VALUE"""),"RURAL")</f>
        <v>RURAL</v>
      </c>
      <c r="I1905" s="25" t="str">
        <f ca="1">IFERROR(__xludf.DUMMYFUNCTION("""COMPUTED_VALUE"""),"Prioridad 2")</f>
        <v>Prioridad 2</v>
      </c>
      <c r="J1905" s="43" t="s">
        <v>261</v>
      </c>
    </row>
    <row r="1906" spans="2:10">
      <c r="B1906" s="25" t="str">
        <f ca="1">IFERROR(__xludf.DUMMYFUNCTION("""COMPUTED_VALUE"""),"MUNICIPALIDAD DISTRITAL")</f>
        <v>MUNICIPALIDAD DISTRITAL</v>
      </c>
      <c r="C1906" s="25" t="str">
        <f ca="1">IFERROR(__xludf.DUMMYFUNCTION("""COMPUTED_VALUE"""),"MUNICIPALIDAD DISTRITAL DE CALANA")</f>
        <v>MUNICIPALIDAD DISTRITAL DE CALANA</v>
      </c>
      <c r="D1906" s="25" t="str">
        <f ca="1">IFERROR(__xludf.DUMMYFUNCTION("""COMPUTED_VALUE"""),"TACNA")</f>
        <v>TACNA</v>
      </c>
      <c r="E1906" s="25" t="str">
        <f ca="1">IFERROR(__xludf.DUMMYFUNCTION("""COMPUTED_VALUE"""),"TACNA")</f>
        <v>TACNA</v>
      </c>
      <c r="F1906" s="25" t="str">
        <f ca="1">IFERROR(__xludf.DUMMYFUNCTION("""COMPUTED_VALUE"""),"TACNA")</f>
        <v>TACNA</v>
      </c>
      <c r="G1906" s="25" t="str">
        <f ca="1">IFERROR(__xludf.DUMMYFUNCTION("""COMPUTED_VALUE"""),"CALANA")</f>
        <v>CALANA</v>
      </c>
      <c r="H1906" s="25" t="str">
        <f ca="1">IFERROR(__xludf.DUMMYFUNCTION("""COMPUTED_VALUE"""),"RURAL")</f>
        <v>RURAL</v>
      </c>
      <c r="I1906" s="25" t="str">
        <f ca="1">IFERROR(__xludf.DUMMYFUNCTION("""COMPUTED_VALUE"""),"Prioridad 1")</f>
        <v>Prioridad 1</v>
      </c>
      <c r="J1906" s="43" t="s">
        <v>261</v>
      </c>
    </row>
    <row r="1907" spans="2:10">
      <c r="B1907" s="25" t="str">
        <f ca="1">IFERROR(__xludf.DUMMYFUNCTION("""COMPUTED_VALUE"""),"MUNICIPALIDAD DISTRITAL")</f>
        <v>MUNICIPALIDAD DISTRITAL</v>
      </c>
      <c r="C1907" s="25" t="str">
        <f ca="1">IFERROR(__xludf.DUMMYFUNCTION("""COMPUTED_VALUE"""),"MUNICIPALIDAD DISTRITAL DE CIUDAD NUEVA")</f>
        <v>MUNICIPALIDAD DISTRITAL DE CIUDAD NUEVA</v>
      </c>
      <c r="D1907" s="25" t="str">
        <f ca="1">IFERROR(__xludf.DUMMYFUNCTION("""COMPUTED_VALUE"""),"TACNA")</f>
        <v>TACNA</v>
      </c>
      <c r="E1907" s="25" t="str">
        <f ca="1">IFERROR(__xludf.DUMMYFUNCTION("""COMPUTED_VALUE"""),"TACNA")</f>
        <v>TACNA</v>
      </c>
      <c r="F1907" s="25" t="str">
        <f ca="1">IFERROR(__xludf.DUMMYFUNCTION("""COMPUTED_VALUE"""),"TACNA")</f>
        <v>TACNA</v>
      </c>
      <c r="G1907" s="25" t="str">
        <f ca="1">IFERROR(__xludf.DUMMYFUNCTION("""COMPUTED_VALUE"""),"CIUDAD NUEVA")</f>
        <v>CIUDAD NUEVA</v>
      </c>
      <c r="H1907" s="25" t="str">
        <f ca="1">IFERROR(__xludf.DUMMYFUNCTION("""COMPUTED_VALUE"""),"URBANO")</f>
        <v>URBANO</v>
      </c>
      <c r="I1907" s="25" t="str">
        <f ca="1">IFERROR(__xludf.DUMMYFUNCTION("""COMPUTED_VALUE"""),"Prioridad 1")</f>
        <v>Prioridad 1</v>
      </c>
      <c r="J1907" s="42" t="s">
        <v>260</v>
      </c>
    </row>
    <row r="1908" spans="2:10">
      <c r="B1908" s="25" t="str">
        <f ca="1">IFERROR(__xludf.DUMMYFUNCTION("""COMPUTED_VALUE"""),"MUNICIPALIDAD DISTRITAL")</f>
        <v>MUNICIPALIDAD DISTRITAL</v>
      </c>
      <c r="C1908" s="25" t="str">
        <f ca="1">IFERROR(__xludf.DUMMYFUNCTION("""COMPUTED_VALUE"""),"MUNICIPALIDAD DISTRITAL DE CORONEL GREGORIO ALBARRACIN LANCHIPA")</f>
        <v>MUNICIPALIDAD DISTRITAL DE CORONEL GREGORIO ALBARRACIN LANCHIPA</v>
      </c>
      <c r="D1908" s="25" t="str">
        <f ca="1">IFERROR(__xludf.DUMMYFUNCTION("""COMPUTED_VALUE"""),"TACNA")</f>
        <v>TACNA</v>
      </c>
      <c r="E1908" s="25" t="str">
        <f ca="1">IFERROR(__xludf.DUMMYFUNCTION("""COMPUTED_VALUE"""),"TACNA")</f>
        <v>TACNA</v>
      </c>
      <c r="F1908" s="25" t="str">
        <f ca="1">IFERROR(__xludf.DUMMYFUNCTION("""COMPUTED_VALUE"""),"TACNA")</f>
        <v>TACNA</v>
      </c>
      <c r="G1908" s="25" t="str">
        <f ca="1">IFERROR(__xludf.DUMMYFUNCTION("""COMPUTED_VALUE"""),"CORONEL GREGORIO ALBARRACIN LANCHIPA")</f>
        <v>CORONEL GREGORIO ALBARRACIN LANCHIPA</v>
      </c>
      <c r="H1908" s="25" t="str">
        <f ca="1">IFERROR(__xludf.DUMMYFUNCTION("""COMPUTED_VALUE"""),"URBANO")</f>
        <v>URBANO</v>
      </c>
      <c r="I1908" s="25" t="str">
        <f ca="1">IFERROR(__xludf.DUMMYFUNCTION("""COMPUTED_VALUE"""),"Prioridad 1")</f>
        <v>Prioridad 1</v>
      </c>
      <c r="J1908" s="43" t="s">
        <v>264</v>
      </c>
    </row>
    <row r="1909" spans="2:10">
      <c r="B1909" s="25" t="str">
        <f ca="1">IFERROR(__xludf.DUMMYFUNCTION("""COMPUTED_VALUE"""),"MUNICIPALIDAD DISTRITAL")</f>
        <v>MUNICIPALIDAD DISTRITAL</v>
      </c>
      <c r="C1909" s="25" t="str">
        <f ca="1">IFERROR(__xludf.DUMMYFUNCTION("""COMPUTED_VALUE"""),"MUNICIPALIDAD DISTRITAL DE INCLAN")</f>
        <v>MUNICIPALIDAD DISTRITAL DE INCLAN</v>
      </c>
      <c r="D1909" s="25" t="str">
        <f ca="1">IFERROR(__xludf.DUMMYFUNCTION("""COMPUTED_VALUE"""),"TACNA")</f>
        <v>TACNA</v>
      </c>
      <c r="E1909" s="25" t="str">
        <f ca="1">IFERROR(__xludf.DUMMYFUNCTION("""COMPUTED_VALUE"""),"TACNA")</f>
        <v>TACNA</v>
      </c>
      <c r="F1909" s="25" t="str">
        <f ca="1">IFERROR(__xludf.DUMMYFUNCTION("""COMPUTED_VALUE"""),"TACNA")</f>
        <v>TACNA</v>
      </c>
      <c r="G1909" s="25" t="str">
        <f ca="1">IFERROR(__xludf.DUMMYFUNCTION("""COMPUTED_VALUE"""),"INCLAN")</f>
        <v>INCLAN</v>
      </c>
      <c r="H1909" s="25" t="str">
        <f ca="1">IFERROR(__xludf.DUMMYFUNCTION("""COMPUTED_VALUE"""),"RURAL")</f>
        <v>RURAL</v>
      </c>
      <c r="I1909" s="25" t="str">
        <f ca="1">IFERROR(__xludf.DUMMYFUNCTION("""COMPUTED_VALUE"""),"Prioridad 5")</f>
        <v>Prioridad 5</v>
      </c>
      <c r="J1909" s="43" t="s">
        <v>264</v>
      </c>
    </row>
    <row r="1910" spans="2:10">
      <c r="B1910" s="25" t="str">
        <f ca="1">IFERROR(__xludf.DUMMYFUNCTION("""COMPUTED_VALUE"""),"MUNICIPALIDAD DISTRITAL")</f>
        <v>MUNICIPALIDAD DISTRITAL</v>
      </c>
      <c r="C1910" s="25" t="str">
        <f ca="1">IFERROR(__xludf.DUMMYFUNCTION("""COMPUTED_VALUE"""),"MUNICIPALIDAD DISTRITAL DE LA YARADA LOS PALOS")</f>
        <v>MUNICIPALIDAD DISTRITAL DE LA YARADA LOS PALOS</v>
      </c>
      <c r="D1910" s="25" t="str">
        <f ca="1">IFERROR(__xludf.DUMMYFUNCTION("""COMPUTED_VALUE"""),"TACNA")</f>
        <v>TACNA</v>
      </c>
      <c r="E1910" s="25" t="str">
        <f ca="1">IFERROR(__xludf.DUMMYFUNCTION("""COMPUTED_VALUE"""),"TACNA")</f>
        <v>TACNA</v>
      </c>
      <c r="F1910" s="25" t="str">
        <f ca="1">IFERROR(__xludf.DUMMYFUNCTION("""COMPUTED_VALUE"""),"TACNA")</f>
        <v>TACNA</v>
      </c>
      <c r="G1910" s="25" t="str">
        <f ca="1">IFERROR(__xludf.DUMMYFUNCTION("""COMPUTED_VALUE"""),"LA YARADA LOS PALOS")</f>
        <v>LA YARADA LOS PALOS</v>
      </c>
      <c r="H1910" s="25" t="str">
        <f ca="1">IFERROR(__xludf.DUMMYFUNCTION("""COMPUTED_VALUE"""),"RURAL")</f>
        <v>RURAL</v>
      </c>
      <c r="I1910" s="25" t="str">
        <f ca="1">IFERROR(__xludf.DUMMYFUNCTION("""COMPUTED_VALUE"""),"Prioridad 2")</f>
        <v>Prioridad 2</v>
      </c>
      <c r="J1910" s="43" t="s">
        <v>264</v>
      </c>
    </row>
    <row r="1911" spans="2:10">
      <c r="B1911" s="25" t="str">
        <f ca="1">IFERROR(__xludf.DUMMYFUNCTION("""COMPUTED_VALUE"""),"MUNICIPALIDAD DISTRITAL")</f>
        <v>MUNICIPALIDAD DISTRITAL</v>
      </c>
      <c r="C1911" s="25" t="str">
        <f ca="1">IFERROR(__xludf.DUMMYFUNCTION("""COMPUTED_VALUE"""),"MUNICIPALIDAD DISTRITAL DE PACHIA")</f>
        <v>MUNICIPALIDAD DISTRITAL DE PACHIA</v>
      </c>
      <c r="D1911" s="25" t="str">
        <f ca="1">IFERROR(__xludf.DUMMYFUNCTION("""COMPUTED_VALUE"""),"TACNA")</f>
        <v>TACNA</v>
      </c>
      <c r="E1911" s="25" t="str">
        <f ca="1">IFERROR(__xludf.DUMMYFUNCTION("""COMPUTED_VALUE"""),"TACNA")</f>
        <v>TACNA</v>
      </c>
      <c r="F1911" s="25" t="str">
        <f ca="1">IFERROR(__xludf.DUMMYFUNCTION("""COMPUTED_VALUE"""),"TACNA")</f>
        <v>TACNA</v>
      </c>
      <c r="G1911" s="25" t="str">
        <f ca="1">IFERROR(__xludf.DUMMYFUNCTION("""COMPUTED_VALUE"""),"PACHIA")</f>
        <v>PACHIA</v>
      </c>
      <c r="H1911" s="25" t="str">
        <f ca="1">IFERROR(__xludf.DUMMYFUNCTION("""COMPUTED_VALUE"""),"RURAL")</f>
        <v>RURAL</v>
      </c>
      <c r="I1911" s="25" t="str">
        <f ca="1">IFERROR(__xludf.DUMMYFUNCTION("""COMPUTED_VALUE"""),"Prioridad 3")</f>
        <v>Prioridad 3</v>
      </c>
      <c r="J1911" s="43" t="s">
        <v>262</v>
      </c>
    </row>
    <row r="1912" spans="2:10">
      <c r="B1912" s="25" t="str">
        <f ca="1">IFERROR(__xludf.DUMMYFUNCTION("""COMPUTED_VALUE"""),"MUNICIPALIDAD DISTRITAL")</f>
        <v>MUNICIPALIDAD DISTRITAL</v>
      </c>
      <c r="C1912" s="25" t="str">
        <f ca="1">IFERROR(__xludf.DUMMYFUNCTION("""COMPUTED_VALUE"""),"MUNICIPALIDAD DISTRITAL DE POCOLLAY")</f>
        <v>MUNICIPALIDAD DISTRITAL DE POCOLLAY</v>
      </c>
      <c r="D1912" s="25" t="str">
        <f ca="1">IFERROR(__xludf.DUMMYFUNCTION("""COMPUTED_VALUE"""),"TACNA")</f>
        <v>TACNA</v>
      </c>
      <c r="E1912" s="25" t="str">
        <f ca="1">IFERROR(__xludf.DUMMYFUNCTION("""COMPUTED_VALUE"""),"TACNA")</f>
        <v>TACNA</v>
      </c>
      <c r="F1912" s="25" t="str">
        <f ca="1">IFERROR(__xludf.DUMMYFUNCTION("""COMPUTED_VALUE"""),"TACNA")</f>
        <v>TACNA</v>
      </c>
      <c r="G1912" s="25" t="str">
        <f ca="1">IFERROR(__xludf.DUMMYFUNCTION("""COMPUTED_VALUE"""),"POCOLLAY")</f>
        <v>POCOLLAY</v>
      </c>
      <c r="H1912" s="25" t="str">
        <f ca="1">IFERROR(__xludf.DUMMYFUNCTION("""COMPUTED_VALUE"""),"URBANO")</f>
        <v>URBANO</v>
      </c>
      <c r="I1912" s="25" t="str">
        <f ca="1">IFERROR(__xludf.DUMMYFUNCTION("""COMPUTED_VALUE"""),"Prioridad 1")</f>
        <v>Prioridad 1</v>
      </c>
      <c r="J1912" s="43" t="s">
        <v>262</v>
      </c>
    </row>
    <row r="1913" spans="2:10">
      <c r="B1913" s="25" t="str">
        <f ca="1">IFERROR(__xludf.DUMMYFUNCTION("""COMPUTED_VALUE"""),"MUNICIPALIDAD DISTRITAL")</f>
        <v>MUNICIPALIDAD DISTRITAL</v>
      </c>
      <c r="C1913" s="25" t="str">
        <f ca="1">IFERROR(__xludf.DUMMYFUNCTION("""COMPUTED_VALUE"""),"MUNICIPALIDAD DISTRITAL DE SAMA")</f>
        <v>MUNICIPALIDAD DISTRITAL DE SAMA</v>
      </c>
      <c r="D1913" s="25" t="str">
        <f ca="1">IFERROR(__xludf.DUMMYFUNCTION("""COMPUTED_VALUE"""),"TACNA")</f>
        <v>TACNA</v>
      </c>
      <c r="E1913" s="25" t="str">
        <f ca="1">IFERROR(__xludf.DUMMYFUNCTION("""COMPUTED_VALUE"""),"TACNA")</f>
        <v>TACNA</v>
      </c>
      <c r="F1913" s="25" t="str">
        <f ca="1">IFERROR(__xludf.DUMMYFUNCTION("""COMPUTED_VALUE"""),"TACNA")</f>
        <v>TACNA</v>
      </c>
      <c r="G1913" s="25" t="str">
        <f ca="1">IFERROR(__xludf.DUMMYFUNCTION("""COMPUTED_VALUE"""),"SAMA")</f>
        <v>SAMA</v>
      </c>
      <c r="H1913" s="25" t="str">
        <f ca="1">IFERROR(__xludf.DUMMYFUNCTION("""COMPUTED_VALUE"""),"URBANO")</f>
        <v>URBANO</v>
      </c>
      <c r="I1913" s="25" t="str">
        <f ca="1">IFERROR(__xludf.DUMMYFUNCTION("""COMPUTED_VALUE"""),"Prioridad 1")</f>
        <v>Prioridad 1</v>
      </c>
      <c r="J1913" s="43" t="s">
        <v>264</v>
      </c>
    </row>
    <row r="1914" spans="2:10">
      <c r="B1914" s="25" t="str">
        <f ca="1">IFERROR(__xludf.DUMMYFUNCTION("""COMPUTED_VALUE"""),"GOBIERNO REGIONAL")</f>
        <v>GOBIERNO REGIONAL</v>
      </c>
      <c r="C1914" s="25" t="str">
        <f ca="1">IFERROR(__xludf.DUMMYFUNCTION("""COMPUTED_VALUE"""),"GOBIERNO REGIONAL DE TACNA")</f>
        <v>GOBIERNO REGIONAL DE TACNA</v>
      </c>
      <c r="D1914" s="25" t="str">
        <f ca="1">IFERROR(__xludf.DUMMYFUNCTION("""COMPUTED_VALUE"""),"TACNA")</f>
        <v>TACNA</v>
      </c>
      <c r="E1914" s="25" t="str">
        <f ca="1">IFERROR(__xludf.DUMMYFUNCTION("""COMPUTED_VALUE"""),"TACNA")</f>
        <v>TACNA</v>
      </c>
      <c r="F1914" s="25" t="str">
        <f ca="1">IFERROR(__xludf.DUMMYFUNCTION("""COMPUTED_VALUE"""),"TACNA")</f>
        <v>TACNA</v>
      </c>
      <c r="G1914" s="25" t="str">
        <f ca="1">IFERROR(__xludf.DUMMYFUNCTION("""COMPUTED_VALUE"""),"TACNA")</f>
        <v>TACNA</v>
      </c>
      <c r="H1914" s="25" t="str">
        <f ca="1">IFERROR(__xludf.DUMMYFUNCTION("""COMPUTED_VALUE"""),"URBANO")</f>
        <v>URBANO</v>
      </c>
      <c r="I1914" s="25" t="str">
        <f ca="1">IFERROR(__xludf.DUMMYFUNCTION("""COMPUTED_VALUE"""),"Prioridad 1")</f>
        <v>Prioridad 1</v>
      </c>
      <c r="J1914" s="43" t="s">
        <v>261</v>
      </c>
    </row>
    <row r="1915" spans="2:10">
      <c r="B1915" s="25" t="str">
        <f ca="1">IFERROR(__xludf.DUMMYFUNCTION("""COMPUTED_VALUE"""),"MUNICIPALIDAD PROVINCIAL")</f>
        <v>MUNICIPALIDAD PROVINCIAL</v>
      </c>
      <c r="C1915" s="25" t="str">
        <f ca="1">IFERROR(__xludf.DUMMYFUNCTION("""COMPUTED_VALUE"""),"MUNICIPALIDAD PROVINCIAL DE TARATA")</f>
        <v>MUNICIPALIDAD PROVINCIAL DE TARATA</v>
      </c>
      <c r="D1915" s="25" t="str">
        <f ca="1">IFERROR(__xludf.DUMMYFUNCTION("""COMPUTED_VALUE"""),"TACNA")</f>
        <v>TACNA</v>
      </c>
      <c r="E1915" s="25" t="str">
        <f ca="1">IFERROR(__xludf.DUMMYFUNCTION("""COMPUTED_VALUE"""),"TACNA")</f>
        <v>TACNA</v>
      </c>
      <c r="F1915" s="25" t="str">
        <f ca="1">IFERROR(__xludf.DUMMYFUNCTION("""COMPUTED_VALUE"""),"TARATA")</f>
        <v>TARATA</v>
      </c>
      <c r="G1915" s="25" t="str">
        <f ca="1">IFERROR(__xludf.DUMMYFUNCTION("""COMPUTED_VALUE"""),"TARATA")</f>
        <v>TARATA</v>
      </c>
      <c r="H1915" s="25" t="str">
        <f ca="1">IFERROR(__xludf.DUMMYFUNCTION("""COMPUTED_VALUE"""),"URBANO")</f>
        <v>URBANO</v>
      </c>
      <c r="I1915" s="25" t="str">
        <f ca="1">IFERROR(__xludf.DUMMYFUNCTION("""COMPUTED_VALUE"""),"Prioridad 2")</f>
        <v>Prioridad 2</v>
      </c>
      <c r="J1915" s="43" t="s">
        <v>264</v>
      </c>
    </row>
    <row r="1916" spans="2:10">
      <c r="B1916" s="25" t="str">
        <f ca="1">IFERROR(__xludf.DUMMYFUNCTION("""COMPUTED_VALUE"""),"MUNICIPALIDAD DISTRITAL")</f>
        <v>MUNICIPALIDAD DISTRITAL</v>
      </c>
      <c r="C1916" s="25" t="str">
        <f ca="1">IFERROR(__xludf.DUMMYFUNCTION("""COMPUTED_VALUE"""),"MUNICIPALIDAD DISTRITAL DE ESTIQUE")</f>
        <v>MUNICIPALIDAD DISTRITAL DE ESTIQUE</v>
      </c>
      <c r="D1916" s="25" t="str">
        <f ca="1">IFERROR(__xludf.DUMMYFUNCTION("""COMPUTED_VALUE"""),"TACNA")</f>
        <v>TACNA</v>
      </c>
      <c r="E1916" s="25" t="str">
        <f ca="1">IFERROR(__xludf.DUMMYFUNCTION("""COMPUTED_VALUE"""),"TACNA")</f>
        <v>TACNA</v>
      </c>
      <c r="F1916" s="25" t="str">
        <f ca="1">IFERROR(__xludf.DUMMYFUNCTION("""COMPUTED_VALUE"""),"TARATA")</f>
        <v>TARATA</v>
      </c>
      <c r="G1916" s="25" t="str">
        <f ca="1">IFERROR(__xludf.DUMMYFUNCTION("""COMPUTED_VALUE"""),"ESTIQUE")</f>
        <v>ESTIQUE</v>
      </c>
      <c r="H1916" s="25" t="str">
        <f ca="1">IFERROR(__xludf.DUMMYFUNCTION("""COMPUTED_VALUE"""),"RURAL")</f>
        <v>RURAL</v>
      </c>
      <c r="I1916" s="25" t="str">
        <f ca="1">IFERROR(__xludf.DUMMYFUNCTION("""COMPUTED_VALUE"""),"Prioridad 2")</f>
        <v>Prioridad 2</v>
      </c>
      <c r="J1916" s="43" t="s">
        <v>261</v>
      </c>
    </row>
    <row r="1917" spans="2:10">
      <c r="B1917" s="25" t="str">
        <f ca="1">IFERROR(__xludf.DUMMYFUNCTION("""COMPUTED_VALUE"""),"MUNICIPALIDAD DISTRITAL")</f>
        <v>MUNICIPALIDAD DISTRITAL</v>
      </c>
      <c r="C1917" s="25" t="str">
        <f ca="1">IFERROR(__xludf.DUMMYFUNCTION("""COMPUTED_VALUE"""),"MUNICIPALIDAD DISTRITAL DE ESTIQUE PAMPA")</f>
        <v>MUNICIPALIDAD DISTRITAL DE ESTIQUE PAMPA</v>
      </c>
      <c r="D1917" s="25" t="str">
        <f ca="1">IFERROR(__xludf.DUMMYFUNCTION("""COMPUTED_VALUE"""),"TACNA")</f>
        <v>TACNA</v>
      </c>
      <c r="E1917" s="25" t="str">
        <f ca="1">IFERROR(__xludf.DUMMYFUNCTION("""COMPUTED_VALUE"""),"TACNA")</f>
        <v>TACNA</v>
      </c>
      <c r="F1917" s="25" t="str">
        <f ca="1">IFERROR(__xludf.DUMMYFUNCTION("""COMPUTED_VALUE"""),"TARATA")</f>
        <v>TARATA</v>
      </c>
      <c r="G1917" s="25" t="str">
        <f ca="1">IFERROR(__xludf.DUMMYFUNCTION("""COMPUTED_VALUE"""),"ESTIQUE PAMPA")</f>
        <v>ESTIQUE PAMPA</v>
      </c>
      <c r="H1917" s="25" t="str">
        <f ca="1">IFERROR(__xludf.DUMMYFUNCTION("""COMPUTED_VALUE"""),"RURAL")</f>
        <v>RURAL</v>
      </c>
      <c r="I1917" s="25" t="str">
        <f ca="1">IFERROR(__xludf.DUMMYFUNCTION("""COMPUTED_VALUE"""),"Prioridad 5")</f>
        <v>Prioridad 5</v>
      </c>
      <c r="J1917" s="43" t="s">
        <v>262</v>
      </c>
    </row>
    <row r="1918" spans="2:10">
      <c r="B1918" s="25" t="str">
        <f ca="1">IFERROR(__xludf.DUMMYFUNCTION("""COMPUTED_VALUE"""),"MUNICIPALIDAD DISTRITAL")</f>
        <v>MUNICIPALIDAD DISTRITAL</v>
      </c>
      <c r="C1918" s="25" t="str">
        <f ca="1">IFERROR(__xludf.DUMMYFUNCTION("""COMPUTED_VALUE"""),"MUNICIPALIDAD DISTRITAL DE HEROES ALBARRACIN")</f>
        <v>MUNICIPALIDAD DISTRITAL DE HEROES ALBARRACIN</v>
      </c>
      <c r="D1918" s="25" t="str">
        <f ca="1">IFERROR(__xludf.DUMMYFUNCTION("""COMPUTED_VALUE"""),"TACNA")</f>
        <v>TACNA</v>
      </c>
      <c r="E1918" s="25" t="str">
        <f ca="1">IFERROR(__xludf.DUMMYFUNCTION("""COMPUTED_VALUE"""),"TACNA")</f>
        <v>TACNA</v>
      </c>
      <c r="F1918" s="25" t="str">
        <f ca="1">IFERROR(__xludf.DUMMYFUNCTION("""COMPUTED_VALUE"""),"TARATA")</f>
        <v>TARATA</v>
      </c>
      <c r="G1918" s="25" t="str">
        <f ca="1">IFERROR(__xludf.DUMMYFUNCTION("""COMPUTED_VALUE"""),"HEROES ALBARRACIN")</f>
        <v>HEROES ALBARRACIN</v>
      </c>
      <c r="H1918" s="25" t="str">
        <f ca="1">IFERROR(__xludf.DUMMYFUNCTION("""COMPUTED_VALUE"""),"RURAL")</f>
        <v>RURAL</v>
      </c>
      <c r="I1918" s="25" t="str">
        <f ca="1">IFERROR(__xludf.DUMMYFUNCTION("""COMPUTED_VALUE"""),"Prioridad 5")</f>
        <v>Prioridad 5</v>
      </c>
      <c r="J1918" s="42" t="s">
        <v>260</v>
      </c>
    </row>
    <row r="1919" spans="2:10">
      <c r="B1919" s="25" t="str">
        <f ca="1">IFERROR(__xludf.DUMMYFUNCTION("""COMPUTED_VALUE"""),"MUNICIPALIDAD DISTRITAL")</f>
        <v>MUNICIPALIDAD DISTRITAL</v>
      </c>
      <c r="C1919" s="25" t="str">
        <f ca="1">IFERROR(__xludf.DUMMYFUNCTION("""COMPUTED_VALUE"""),"MUNICIPALIDAD DISTRITAL DE SITAJARA")</f>
        <v>MUNICIPALIDAD DISTRITAL DE SITAJARA</v>
      </c>
      <c r="D1919" s="25" t="str">
        <f ca="1">IFERROR(__xludf.DUMMYFUNCTION("""COMPUTED_VALUE"""),"TACNA")</f>
        <v>TACNA</v>
      </c>
      <c r="E1919" s="25" t="str">
        <f ca="1">IFERROR(__xludf.DUMMYFUNCTION("""COMPUTED_VALUE"""),"TACNA")</f>
        <v>TACNA</v>
      </c>
      <c r="F1919" s="25" t="str">
        <f ca="1">IFERROR(__xludf.DUMMYFUNCTION("""COMPUTED_VALUE"""),"TARATA")</f>
        <v>TARATA</v>
      </c>
      <c r="G1919" s="25" t="str">
        <f ca="1">IFERROR(__xludf.DUMMYFUNCTION("""COMPUTED_VALUE"""),"SITAJARA")</f>
        <v>SITAJARA</v>
      </c>
      <c r="H1919" s="25" t="str">
        <f ca="1">IFERROR(__xludf.DUMMYFUNCTION("""COMPUTED_VALUE"""),"RURAL")</f>
        <v>RURAL</v>
      </c>
      <c r="I1919" s="25" t="str">
        <f ca="1">IFERROR(__xludf.DUMMYFUNCTION("""COMPUTED_VALUE"""),"Prioridad 5")</f>
        <v>Prioridad 5</v>
      </c>
      <c r="J1919" s="43" t="s">
        <v>261</v>
      </c>
    </row>
    <row r="1920" spans="2:10">
      <c r="B1920" s="25" t="str">
        <f ca="1">IFERROR(__xludf.DUMMYFUNCTION("""COMPUTED_VALUE"""),"MUNICIPALIDAD DISTRITAL")</f>
        <v>MUNICIPALIDAD DISTRITAL</v>
      </c>
      <c r="C1920" s="25" t="str">
        <f ca="1">IFERROR(__xludf.DUMMYFUNCTION("""COMPUTED_VALUE"""),"MUNICIPALIDAD DISTRITAL DE SUSAPAYA")</f>
        <v>MUNICIPALIDAD DISTRITAL DE SUSAPAYA</v>
      </c>
      <c r="D1920" s="25" t="str">
        <f ca="1">IFERROR(__xludf.DUMMYFUNCTION("""COMPUTED_VALUE"""),"TACNA")</f>
        <v>TACNA</v>
      </c>
      <c r="E1920" s="25" t="str">
        <f ca="1">IFERROR(__xludf.DUMMYFUNCTION("""COMPUTED_VALUE"""),"TACNA")</f>
        <v>TACNA</v>
      </c>
      <c r="F1920" s="25" t="str">
        <f ca="1">IFERROR(__xludf.DUMMYFUNCTION("""COMPUTED_VALUE"""),"TARATA")</f>
        <v>TARATA</v>
      </c>
      <c r="G1920" s="25" t="str">
        <f ca="1">IFERROR(__xludf.DUMMYFUNCTION("""COMPUTED_VALUE"""),"SUSAPAYA")</f>
        <v>SUSAPAYA</v>
      </c>
      <c r="H1920" s="25" t="str">
        <f ca="1">IFERROR(__xludf.DUMMYFUNCTION("""COMPUTED_VALUE"""),"RURAL")</f>
        <v>RURAL</v>
      </c>
      <c r="I1920" s="25" t="str">
        <f ca="1">IFERROR(__xludf.DUMMYFUNCTION("""COMPUTED_VALUE"""),"Prioridad 2")</f>
        <v>Prioridad 2</v>
      </c>
      <c r="J1920" s="43" t="s">
        <v>261</v>
      </c>
    </row>
    <row r="1921" spans="2:10">
      <c r="B1921" s="25" t="str">
        <f ca="1">IFERROR(__xludf.DUMMYFUNCTION("""COMPUTED_VALUE"""),"MUNICIPALIDAD DISTRITAL")</f>
        <v>MUNICIPALIDAD DISTRITAL</v>
      </c>
      <c r="C1921" s="25" t="str">
        <f ca="1">IFERROR(__xludf.DUMMYFUNCTION("""COMPUTED_VALUE"""),"MUNICIPALIDAD DISTRITAL DE TARUCACHI")</f>
        <v>MUNICIPALIDAD DISTRITAL DE TARUCACHI</v>
      </c>
      <c r="D1921" s="25" t="str">
        <f ca="1">IFERROR(__xludf.DUMMYFUNCTION("""COMPUTED_VALUE"""),"TACNA")</f>
        <v>TACNA</v>
      </c>
      <c r="E1921" s="25" t="str">
        <f ca="1">IFERROR(__xludf.DUMMYFUNCTION("""COMPUTED_VALUE"""),"TACNA")</f>
        <v>TACNA</v>
      </c>
      <c r="F1921" s="25" t="str">
        <f ca="1">IFERROR(__xludf.DUMMYFUNCTION("""COMPUTED_VALUE"""),"TARATA")</f>
        <v>TARATA</v>
      </c>
      <c r="G1921" s="25" t="str">
        <f ca="1">IFERROR(__xludf.DUMMYFUNCTION("""COMPUTED_VALUE"""),"TARUCACHI")</f>
        <v>TARUCACHI</v>
      </c>
      <c r="H1921" s="25" t="str">
        <f ca="1">IFERROR(__xludf.DUMMYFUNCTION("""COMPUTED_VALUE"""),"RURAL")</f>
        <v>RURAL</v>
      </c>
      <c r="I1921" s="25" t="str">
        <f ca="1">IFERROR(__xludf.DUMMYFUNCTION("""COMPUTED_VALUE"""),"Prioridad 4")</f>
        <v>Prioridad 4</v>
      </c>
      <c r="J1921" s="43" t="s">
        <v>264</v>
      </c>
    </row>
    <row r="1922" spans="2:10">
      <c r="B1922" s="25" t="str">
        <f ca="1">IFERROR(__xludf.DUMMYFUNCTION("""COMPUTED_VALUE"""),"MUNICIPALIDAD DISTRITAL")</f>
        <v>MUNICIPALIDAD DISTRITAL</v>
      </c>
      <c r="C1922" s="25" t="str">
        <f ca="1">IFERROR(__xludf.DUMMYFUNCTION("""COMPUTED_VALUE"""),"MUNICIPALIDAD DISTRITAL DE TICACO")</f>
        <v>MUNICIPALIDAD DISTRITAL DE TICACO</v>
      </c>
      <c r="D1922" s="25" t="str">
        <f ca="1">IFERROR(__xludf.DUMMYFUNCTION("""COMPUTED_VALUE"""),"TACNA")</f>
        <v>TACNA</v>
      </c>
      <c r="E1922" s="25" t="str">
        <f ca="1">IFERROR(__xludf.DUMMYFUNCTION("""COMPUTED_VALUE"""),"TACNA")</f>
        <v>TACNA</v>
      </c>
      <c r="F1922" s="25" t="str">
        <f ca="1">IFERROR(__xludf.DUMMYFUNCTION("""COMPUTED_VALUE"""),"TARATA")</f>
        <v>TARATA</v>
      </c>
      <c r="G1922" s="25" t="str">
        <f ca="1">IFERROR(__xludf.DUMMYFUNCTION("""COMPUTED_VALUE"""),"TICACO")</f>
        <v>TICACO</v>
      </c>
      <c r="H1922" s="25" t="str">
        <f ca="1">IFERROR(__xludf.DUMMYFUNCTION("""COMPUTED_VALUE"""),"RURAL")</f>
        <v>RURAL</v>
      </c>
      <c r="I1922" s="25" t="str">
        <f ca="1">IFERROR(__xludf.DUMMYFUNCTION("""COMPUTED_VALUE"""),"Prioridad 2")</f>
        <v>Prioridad 2</v>
      </c>
      <c r="J1922" s="43" t="s">
        <v>261</v>
      </c>
    </row>
    <row r="1923" spans="2:10">
      <c r="B1923" s="25" t="str">
        <f ca="1">IFERROR(__xludf.DUMMYFUNCTION("""COMPUTED_VALUE"""),"MUNICIPALIDAD PROVINCIAL")</f>
        <v>MUNICIPALIDAD PROVINCIAL</v>
      </c>
      <c r="C1923" s="25" t="str">
        <f ca="1">IFERROR(__xludf.DUMMYFUNCTION("""COMPUTED_VALUE"""),"MUNICIPALIDAD PROVINCIAL DE CONTRALMIRANTE VILLAR")</f>
        <v>MUNICIPALIDAD PROVINCIAL DE CONTRALMIRANTE VILLAR</v>
      </c>
      <c r="D1923" s="25" t="str">
        <f ca="1">IFERROR(__xludf.DUMMYFUNCTION("""COMPUTED_VALUE"""),"PIURA")</f>
        <v>PIURA</v>
      </c>
      <c r="E1923" s="25" t="str">
        <f ca="1">IFERROR(__xludf.DUMMYFUNCTION("""COMPUTED_VALUE"""),"TUMBES")</f>
        <v>TUMBES</v>
      </c>
      <c r="F1923" s="25" t="str">
        <f ca="1">IFERROR(__xludf.DUMMYFUNCTION("""COMPUTED_VALUE"""),"CONTRALMIRANTE VILLAR")</f>
        <v>CONTRALMIRANTE VILLAR</v>
      </c>
      <c r="G1923" s="25" t="str">
        <f ca="1">IFERROR(__xludf.DUMMYFUNCTION("""COMPUTED_VALUE"""),"ZORRITOS")</f>
        <v>ZORRITOS</v>
      </c>
      <c r="H1923" s="25" t="str">
        <f ca="1">IFERROR(__xludf.DUMMYFUNCTION("""COMPUTED_VALUE"""),"URBANO")</f>
        <v>URBANO</v>
      </c>
      <c r="I1923" s="25" t="str">
        <f ca="1">IFERROR(__xludf.DUMMYFUNCTION("""COMPUTED_VALUE"""),"Prioridad 1")</f>
        <v>Prioridad 1</v>
      </c>
      <c r="J1923" s="43" t="s">
        <v>262</v>
      </c>
    </row>
    <row r="1924" spans="2:10">
      <c r="B1924" s="25" t="str">
        <f ca="1">IFERROR(__xludf.DUMMYFUNCTION("""COMPUTED_VALUE"""),"MUNICIPALIDAD DISTRITAL")</f>
        <v>MUNICIPALIDAD DISTRITAL</v>
      </c>
      <c r="C1924" s="25" t="str">
        <f ca="1">IFERROR(__xludf.DUMMYFUNCTION("""COMPUTED_VALUE"""),"MUNICIPALIDAD DISTRITAL DE CANOAS DE PUNTA SAL")</f>
        <v>MUNICIPALIDAD DISTRITAL DE CANOAS DE PUNTA SAL</v>
      </c>
      <c r="D1924" s="25" t="str">
        <f ca="1">IFERROR(__xludf.DUMMYFUNCTION("""COMPUTED_VALUE"""),"PIURA")</f>
        <v>PIURA</v>
      </c>
      <c r="E1924" s="25" t="str">
        <f ca="1">IFERROR(__xludf.DUMMYFUNCTION("""COMPUTED_VALUE"""),"TUMBES")</f>
        <v>TUMBES</v>
      </c>
      <c r="F1924" s="25" t="str">
        <f ca="1">IFERROR(__xludf.DUMMYFUNCTION("""COMPUTED_VALUE"""),"CONTRALMIRANTE VILLAR")</f>
        <v>CONTRALMIRANTE VILLAR</v>
      </c>
      <c r="G1924" s="25" t="str">
        <f ca="1">IFERROR(__xludf.DUMMYFUNCTION("""COMPUTED_VALUE"""),"CANOAS DE PUNTA SAL")</f>
        <v>CANOAS DE PUNTA SAL</v>
      </c>
      <c r="H1924" s="25" t="str">
        <f ca="1">IFERROR(__xludf.DUMMYFUNCTION("""COMPUTED_VALUE"""),"URBANO")</f>
        <v>URBANO</v>
      </c>
      <c r="I1924" s="25" t="str">
        <f ca="1">IFERROR(__xludf.DUMMYFUNCTION("""COMPUTED_VALUE"""),"Prioridad 1")</f>
        <v>Prioridad 1</v>
      </c>
      <c r="J1924" s="42" t="s">
        <v>260</v>
      </c>
    </row>
    <row r="1925" spans="2:10">
      <c r="B1925" s="25" t="str">
        <f ca="1">IFERROR(__xludf.DUMMYFUNCTION("""COMPUTED_VALUE"""),"MUNICIPALIDAD DISTRITAL")</f>
        <v>MUNICIPALIDAD DISTRITAL</v>
      </c>
      <c r="C1925" s="25" t="str">
        <f ca="1">IFERROR(__xludf.DUMMYFUNCTION("""COMPUTED_VALUE"""),"MUNICIPALIDAD DISTRITAL DE CASITAS")</f>
        <v>MUNICIPALIDAD DISTRITAL DE CASITAS</v>
      </c>
      <c r="D1925" s="25" t="str">
        <f ca="1">IFERROR(__xludf.DUMMYFUNCTION("""COMPUTED_VALUE"""),"PIURA")</f>
        <v>PIURA</v>
      </c>
      <c r="E1925" s="25" t="str">
        <f ca="1">IFERROR(__xludf.DUMMYFUNCTION("""COMPUTED_VALUE"""),"TUMBES")</f>
        <v>TUMBES</v>
      </c>
      <c r="F1925" s="25" t="str">
        <f ca="1">IFERROR(__xludf.DUMMYFUNCTION("""COMPUTED_VALUE"""),"CONTRALMIRANTE VILLAR")</f>
        <v>CONTRALMIRANTE VILLAR</v>
      </c>
      <c r="G1925" s="25" t="str">
        <f ca="1">IFERROR(__xludf.DUMMYFUNCTION("""COMPUTED_VALUE"""),"CASITAS")</f>
        <v>CASITAS</v>
      </c>
      <c r="H1925" s="25" t="str">
        <f ca="1">IFERROR(__xludf.DUMMYFUNCTION("""COMPUTED_VALUE"""),"RURAL")</f>
        <v>RURAL</v>
      </c>
      <c r="I1925" s="25" t="str">
        <f ca="1">IFERROR(__xludf.DUMMYFUNCTION("""COMPUTED_VALUE"""),"Prioridad 3")</f>
        <v>Prioridad 3</v>
      </c>
      <c r="J1925" s="43" t="s">
        <v>261</v>
      </c>
    </row>
    <row r="1926" spans="2:10">
      <c r="B1926" s="25" t="str">
        <f ca="1">IFERROR(__xludf.DUMMYFUNCTION("""COMPUTED_VALUE"""),"MUNICIPALIDAD PROVINCIAL")</f>
        <v>MUNICIPALIDAD PROVINCIAL</v>
      </c>
      <c r="C1926" s="25" t="str">
        <f ca="1">IFERROR(__xludf.DUMMYFUNCTION("""COMPUTED_VALUE"""),"MUNICIPALIDAD PROVINCIAL DE TUMBES")</f>
        <v>MUNICIPALIDAD PROVINCIAL DE TUMBES</v>
      </c>
      <c r="D1926" s="25" t="str">
        <f ca="1">IFERROR(__xludf.DUMMYFUNCTION("""COMPUTED_VALUE"""),"PIURA")</f>
        <v>PIURA</v>
      </c>
      <c r="E1926" s="25" t="str">
        <f ca="1">IFERROR(__xludf.DUMMYFUNCTION("""COMPUTED_VALUE"""),"TUMBES")</f>
        <v>TUMBES</v>
      </c>
      <c r="F1926" s="25" t="str">
        <f ca="1">IFERROR(__xludf.DUMMYFUNCTION("""COMPUTED_VALUE"""),"TUMBES")</f>
        <v>TUMBES</v>
      </c>
      <c r="G1926" s="25" t="str">
        <f ca="1">IFERROR(__xludf.DUMMYFUNCTION("""COMPUTED_VALUE"""),"TUMBES")</f>
        <v>TUMBES</v>
      </c>
      <c r="H1926" s="25" t="str">
        <f ca="1">IFERROR(__xludf.DUMMYFUNCTION("""COMPUTED_VALUE"""),"URBANO")</f>
        <v>URBANO</v>
      </c>
      <c r="I1926" s="25" t="str">
        <f ca="1">IFERROR(__xludf.DUMMYFUNCTION("""COMPUTED_VALUE"""),"Prioridad 1")</f>
        <v>Prioridad 1</v>
      </c>
      <c r="J1926" s="43" t="s">
        <v>263</v>
      </c>
    </row>
    <row r="1927" spans="2:10">
      <c r="B1927" s="25" t="str">
        <f ca="1">IFERROR(__xludf.DUMMYFUNCTION("""COMPUTED_VALUE"""),"MUNICIPALIDAD DISTRITAL")</f>
        <v>MUNICIPALIDAD DISTRITAL</v>
      </c>
      <c r="C1927" s="25" t="str">
        <f ca="1">IFERROR(__xludf.DUMMYFUNCTION("""COMPUTED_VALUE"""),"MUNICIPALIDAD DISTRITAL DE CORRALES")</f>
        <v>MUNICIPALIDAD DISTRITAL DE CORRALES</v>
      </c>
      <c r="D1927" s="25" t="str">
        <f ca="1">IFERROR(__xludf.DUMMYFUNCTION("""COMPUTED_VALUE"""),"PIURA")</f>
        <v>PIURA</v>
      </c>
      <c r="E1927" s="25" t="str">
        <f ca="1">IFERROR(__xludf.DUMMYFUNCTION("""COMPUTED_VALUE"""),"TUMBES")</f>
        <v>TUMBES</v>
      </c>
      <c r="F1927" s="25" t="str">
        <f ca="1">IFERROR(__xludf.DUMMYFUNCTION("""COMPUTED_VALUE"""),"TUMBES")</f>
        <v>TUMBES</v>
      </c>
      <c r="G1927" s="25" t="str">
        <f ca="1">IFERROR(__xludf.DUMMYFUNCTION("""COMPUTED_VALUE"""),"CORRALES")</f>
        <v>CORRALES</v>
      </c>
      <c r="H1927" s="25" t="str">
        <f ca="1">IFERROR(__xludf.DUMMYFUNCTION("""COMPUTED_VALUE"""),"URBANO")</f>
        <v>URBANO</v>
      </c>
      <c r="I1927" s="25" t="str">
        <f ca="1">IFERROR(__xludf.DUMMYFUNCTION("""COMPUTED_VALUE"""),"Prioridad 2")</f>
        <v>Prioridad 2</v>
      </c>
      <c r="J1927" s="43" t="s">
        <v>264</v>
      </c>
    </row>
    <row r="1928" spans="2:10">
      <c r="B1928" s="25" t="str">
        <f ca="1">IFERROR(__xludf.DUMMYFUNCTION("""COMPUTED_VALUE"""),"MUNICIPALIDAD DISTRITAL")</f>
        <v>MUNICIPALIDAD DISTRITAL</v>
      </c>
      <c r="C1928" s="25" t="str">
        <f ca="1">IFERROR(__xludf.DUMMYFUNCTION("""COMPUTED_VALUE"""),"MUNICIPALIDAD DISTRITAL DE LA CRUZ")</f>
        <v>MUNICIPALIDAD DISTRITAL DE LA CRUZ</v>
      </c>
      <c r="D1928" s="25" t="str">
        <f ca="1">IFERROR(__xludf.DUMMYFUNCTION("""COMPUTED_VALUE"""),"PIURA")</f>
        <v>PIURA</v>
      </c>
      <c r="E1928" s="25" t="str">
        <f ca="1">IFERROR(__xludf.DUMMYFUNCTION("""COMPUTED_VALUE"""),"TUMBES")</f>
        <v>TUMBES</v>
      </c>
      <c r="F1928" s="25" t="str">
        <f ca="1">IFERROR(__xludf.DUMMYFUNCTION("""COMPUTED_VALUE"""),"TUMBES")</f>
        <v>TUMBES</v>
      </c>
      <c r="G1928" s="25" t="str">
        <f ca="1">IFERROR(__xludf.DUMMYFUNCTION("""COMPUTED_VALUE"""),"LA CRUZ")</f>
        <v>LA CRUZ</v>
      </c>
      <c r="H1928" s="25" t="str">
        <f ca="1">IFERROR(__xludf.DUMMYFUNCTION("""COMPUTED_VALUE"""),"URBANO")</f>
        <v>URBANO</v>
      </c>
      <c r="I1928" s="25" t="str">
        <f ca="1">IFERROR(__xludf.DUMMYFUNCTION("""COMPUTED_VALUE"""),"Prioridad 1")</f>
        <v>Prioridad 1</v>
      </c>
      <c r="J1928" s="42" t="s">
        <v>260</v>
      </c>
    </row>
    <row r="1929" spans="2:10">
      <c r="B1929" s="25" t="str">
        <f ca="1">IFERROR(__xludf.DUMMYFUNCTION("""COMPUTED_VALUE"""),"MUNICIPALIDAD DISTRITAL")</f>
        <v>MUNICIPALIDAD DISTRITAL</v>
      </c>
      <c r="C1929" s="25" t="str">
        <f ca="1">IFERROR(__xludf.DUMMYFUNCTION("""COMPUTED_VALUE"""),"MUNICIPALIDAD DISTRITAL DE PAMPAS DE HOSPITAL")</f>
        <v>MUNICIPALIDAD DISTRITAL DE PAMPAS DE HOSPITAL</v>
      </c>
      <c r="D1929" s="25" t="str">
        <f ca="1">IFERROR(__xludf.DUMMYFUNCTION("""COMPUTED_VALUE"""),"PIURA")</f>
        <v>PIURA</v>
      </c>
      <c r="E1929" s="25" t="str">
        <f ca="1">IFERROR(__xludf.DUMMYFUNCTION("""COMPUTED_VALUE"""),"TUMBES")</f>
        <v>TUMBES</v>
      </c>
      <c r="F1929" s="25" t="str">
        <f ca="1">IFERROR(__xludf.DUMMYFUNCTION("""COMPUTED_VALUE"""),"TUMBES")</f>
        <v>TUMBES</v>
      </c>
      <c r="G1929" s="25" t="str">
        <f ca="1">IFERROR(__xludf.DUMMYFUNCTION("""COMPUTED_VALUE"""),"PAMPAS DE HOSPITAL")</f>
        <v>PAMPAS DE HOSPITAL</v>
      </c>
      <c r="H1929" s="25" t="str">
        <f ca="1">IFERROR(__xludf.DUMMYFUNCTION("""COMPUTED_VALUE"""),"URBANO")</f>
        <v>URBANO</v>
      </c>
      <c r="I1929" s="25" t="str">
        <f ca="1">IFERROR(__xludf.DUMMYFUNCTION("""COMPUTED_VALUE"""),"Prioridad 3")</f>
        <v>Prioridad 3</v>
      </c>
      <c r="J1929" s="43" t="s">
        <v>264</v>
      </c>
    </row>
    <row r="1930" spans="2:10">
      <c r="B1930" s="25" t="str">
        <f ca="1">IFERROR(__xludf.DUMMYFUNCTION("""COMPUTED_VALUE"""),"MUNICIPALIDAD DISTRITAL")</f>
        <v>MUNICIPALIDAD DISTRITAL</v>
      </c>
      <c r="C1930" s="25" t="str">
        <f ca="1">IFERROR(__xludf.DUMMYFUNCTION("""COMPUTED_VALUE"""),"MUNICIPALIDAD DISTRITAL DE SAN JACINTO")</f>
        <v>MUNICIPALIDAD DISTRITAL DE SAN JACINTO</v>
      </c>
      <c r="D1930" s="25" t="str">
        <f ca="1">IFERROR(__xludf.DUMMYFUNCTION("""COMPUTED_VALUE"""),"PIURA")</f>
        <v>PIURA</v>
      </c>
      <c r="E1930" s="25" t="str">
        <f ca="1">IFERROR(__xludf.DUMMYFUNCTION("""COMPUTED_VALUE"""),"TUMBES")</f>
        <v>TUMBES</v>
      </c>
      <c r="F1930" s="25" t="str">
        <f ca="1">IFERROR(__xludf.DUMMYFUNCTION("""COMPUTED_VALUE"""),"TUMBES")</f>
        <v>TUMBES</v>
      </c>
      <c r="G1930" s="25" t="str">
        <f ca="1">IFERROR(__xludf.DUMMYFUNCTION("""COMPUTED_VALUE"""),"SAN JACINTO")</f>
        <v>SAN JACINTO</v>
      </c>
      <c r="H1930" s="25" t="str">
        <f ca="1">IFERROR(__xludf.DUMMYFUNCTION("""COMPUTED_VALUE"""),"URBANO")</f>
        <v>URBANO</v>
      </c>
      <c r="I1930" s="25" t="str">
        <f ca="1">IFERROR(__xludf.DUMMYFUNCTION("""COMPUTED_VALUE"""),"Prioridad 2")</f>
        <v>Prioridad 2</v>
      </c>
      <c r="J1930" s="42" t="s">
        <v>260</v>
      </c>
    </row>
    <row r="1931" spans="2:10">
      <c r="B1931" s="25" t="str">
        <f ca="1">IFERROR(__xludf.DUMMYFUNCTION("""COMPUTED_VALUE"""),"MUNICIPALIDAD DISTRITAL")</f>
        <v>MUNICIPALIDAD DISTRITAL</v>
      </c>
      <c r="C1931" s="25" t="str">
        <f ca="1">IFERROR(__xludf.DUMMYFUNCTION("""COMPUTED_VALUE"""),"MUNICIPALIDAD DISTRITAL DE SAN JUAN DE LA VIRGEN")</f>
        <v>MUNICIPALIDAD DISTRITAL DE SAN JUAN DE LA VIRGEN</v>
      </c>
      <c r="D1931" s="25" t="str">
        <f ca="1">IFERROR(__xludf.DUMMYFUNCTION("""COMPUTED_VALUE"""),"PIURA")</f>
        <v>PIURA</v>
      </c>
      <c r="E1931" s="25" t="str">
        <f ca="1">IFERROR(__xludf.DUMMYFUNCTION("""COMPUTED_VALUE"""),"TUMBES")</f>
        <v>TUMBES</v>
      </c>
      <c r="F1931" s="25" t="str">
        <f ca="1">IFERROR(__xludf.DUMMYFUNCTION("""COMPUTED_VALUE"""),"TUMBES")</f>
        <v>TUMBES</v>
      </c>
      <c r="G1931" s="25" t="str">
        <f ca="1">IFERROR(__xludf.DUMMYFUNCTION("""COMPUTED_VALUE"""),"SAN JUAN DE LA VIRGEN")</f>
        <v>SAN JUAN DE LA VIRGEN</v>
      </c>
      <c r="H1931" s="25" t="str">
        <f ca="1">IFERROR(__xludf.DUMMYFUNCTION("""COMPUTED_VALUE"""),"URBANO")</f>
        <v>URBANO</v>
      </c>
      <c r="I1931" s="25" t="str">
        <f ca="1">IFERROR(__xludf.DUMMYFUNCTION("""COMPUTED_VALUE"""),"Prioridad 2")</f>
        <v>Prioridad 2</v>
      </c>
      <c r="J1931" s="43" t="s">
        <v>261</v>
      </c>
    </row>
    <row r="1932" spans="2:10">
      <c r="B1932" s="25" t="str">
        <f ca="1">IFERROR(__xludf.DUMMYFUNCTION("""COMPUTED_VALUE"""),"GOBIERNO REGIONAL")</f>
        <v>GOBIERNO REGIONAL</v>
      </c>
      <c r="C1932" s="25" t="str">
        <f ca="1">IFERROR(__xludf.DUMMYFUNCTION("""COMPUTED_VALUE"""),"GOBIERNO REGIONAL DE TUMBES")</f>
        <v>GOBIERNO REGIONAL DE TUMBES</v>
      </c>
      <c r="D1932" s="25" t="str">
        <f ca="1">IFERROR(__xludf.DUMMYFUNCTION("""COMPUTED_VALUE"""),"PIURA")</f>
        <v>PIURA</v>
      </c>
      <c r="E1932" s="25" t="str">
        <f ca="1">IFERROR(__xludf.DUMMYFUNCTION("""COMPUTED_VALUE"""),"TUMBES")</f>
        <v>TUMBES</v>
      </c>
      <c r="F1932" s="25" t="str">
        <f ca="1">IFERROR(__xludf.DUMMYFUNCTION("""COMPUTED_VALUE"""),"TUMBES")</f>
        <v>TUMBES</v>
      </c>
      <c r="G1932" s="25" t="str">
        <f ca="1">IFERROR(__xludf.DUMMYFUNCTION("""COMPUTED_VALUE"""),"TUMBES")</f>
        <v>TUMBES</v>
      </c>
      <c r="H1932" s="25" t="str">
        <f ca="1">IFERROR(__xludf.DUMMYFUNCTION("""COMPUTED_VALUE"""),"URBANO")</f>
        <v>URBANO</v>
      </c>
      <c r="I1932" s="25" t="str">
        <f ca="1">IFERROR(__xludf.DUMMYFUNCTION("""COMPUTED_VALUE"""),"Prioridad 1")</f>
        <v>Prioridad 1</v>
      </c>
      <c r="J1932" s="43" t="s">
        <v>263</v>
      </c>
    </row>
    <row r="1933" spans="2:10">
      <c r="B1933" s="25" t="str">
        <f ca="1">IFERROR(__xludf.DUMMYFUNCTION("""COMPUTED_VALUE"""),"MUNICIPALIDAD PROVINCIAL")</f>
        <v>MUNICIPALIDAD PROVINCIAL</v>
      </c>
      <c r="C1933" s="25" t="str">
        <f ca="1">IFERROR(__xludf.DUMMYFUNCTION("""COMPUTED_VALUE"""),"MUNICIPALIDAD PROVINCIAL DE ZARUMILLA")</f>
        <v>MUNICIPALIDAD PROVINCIAL DE ZARUMILLA</v>
      </c>
      <c r="D1933" s="25" t="str">
        <f ca="1">IFERROR(__xludf.DUMMYFUNCTION("""COMPUTED_VALUE"""),"PIURA")</f>
        <v>PIURA</v>
      </c>
      <c r="E1933" s="25" t="str">
        <f ca="1">IFERROR(__xludf.DUMMYFUNCTION("""COMPUTED_VALUE"""),"TUMBES")</f>
        <v>TUMBES</v>
      </c>
      <c r="F1933" s="25" t="str">
        <f ca="1">IFERROR(__xludf.DUMMYFUNCTION("""COMPUTED_VALUE"""),"ZARUMILLA")</f>
        <v>ZARUMILLA</v>
      </c>
      <c r="G1933" s="25" t="str">
        <f ca="1">IFERROR(__xludf.DUMMYFUNCTION("""COMPUTED_VALUE"""),"ZARUMILLA")</f>
        <v>ZARUMILLA</v>
      </c>
      <c r="H1933" s="25" t="str">
        <f ca="1">IFERROR(__xludf.DUMMYFUNCTION("""COMPUTED_VALUE"""),"URBANO")</f>
        <v>URBANO</v>
      </c>
      <c r="I1933" s="25" t="str">
        <f ca="1">IFERROR(__xludf.DUMMYFUNCTION("""COMPUTED_VALUE"""),"Prioridad 1")</f>
        <v>Prioridad 1</v>
      </c>
      <c r="J1933" s="43" t="s">
        <v>262</v>
      </c>
    </row>
    <row r="1934" spans="2:10">
      <c r="B1934" s="25" t="str">
        <f ca="1">IFERROR(__xludf.DUMMYFUNCTION("""COMPUTED_VALUE"""),"MUNICIPALIDAD DISTRITAL")</f>
        <v>MUNICIPALIDAD DISTRITAL</v>
      </c>
      <c r="C1934" s="25" t="str">
        <f ca="1">IFERROR(__xludf.DUMMYFUNCTION("""COMPUTED_VALUE"""),"MUNICIPALIDAD DISTRITAL DE AGUAS VERDES")</f>
        <v>MUNICIPALIDAD DISTRITAL DE AGUAS VERDES</v>
      </c>
      <c r="D1934" s="25" t="str">
        <f ca="1">IFERROR(__xludf.DUMMYFUNCTION("""COMPUTED_VALUE"""),"PIURA")</f>
        <v>PIURA</v>
      </c>
      <c r="E1934" s="25" t="str">
        <f ca="1">IFERROR(__xludf.DUMMYFUNCTION("""COMPUTED_VALUE"""),"TUMBES")</f>
        <v>TUMBES</v>
      </c>
      <c r="F1934" s="25" t="str">
        <f ca="1">IFERROR(__xludf.DUMMYFUNCTION("""COMPUTED_VALUE"""),"ZARUMILLA")</f>
        <v>ZARUMILLA</v>
      </c>
      <c r="G1934" s="25" t="str">
        <f ca="1">IFERROR(__xludf.DUMMYFUNCTION("""COMPUTED_VALUE"""),"AGUAS VERDES")</f>
        <v>AGUAS VERDES</v>
      </c>
      <c r="H1934" s="25" t="str">
        <f ca="1">IFERROR(__xludf.DUMMYFUNCTION("""COMPUTED_VALUE"""),"URBANO")</f>
        <v>URBANO</v>
      </c>
      <c r="I1934" s="25" t="str">
        <f ca="1">IFERROR(__xludf.DUMMYFUNCTION("""COMPUTED_VALUE"""),"Prioridad 1")</f>
        <v>Prioridad 1</v>
      </c>
      <c r="J1934" s="42" t="s">
        <v>260</v>
      </c>
    </row>
    <row r="1935" spans="2:10">
      <c r="B1935" s="25" t="str">
        <f ca="1">IFERROR(__xludf.DUMMYFUNCTION("""COMPUTED_VALUE"""),"MUNICIPALIDAD DISTRITAL")</f>
        <v>MUNICIPALIDAD DISTRITAL</v>
      </c>
      <c r="C1935" s="25" t="str">
        <f ca="1">IFERROR(__xludf.DUMMYFUNCTION("""COMPUTED_VALUE"""),"MUNICIPALIDAD DISTRITAL DE PAPAYAL")</f>
        <v>MUNICIPALIDAD DISTRITAL DE PAPAYAL</v>
      </c>
      <c r="D1935" s="25" t="str">
        <f ca="1">IFERROR(__xludf.DUMMYFUNCTION("""COMPUTED_VALUE"""),"PIURA")</f>
        <v>PIURA</v>
      </c>
      <c r="E1935" s="25" t="str">
        <f ca="1">IFERROR(__xludf.DUMMYFUNCTION("""COMPUTED_VALUE"""),"TUMBES")</f>
        <v>TUMBES</v>
      </c>
      <c r="F1935" s="25" t="str">
        <f ca="1">IFERROR(__xludf.DUMMYFUNCTION("""COMPUTED_VALUE"""),"ZARUMILLA")</f>
        <v>ZARUMILLA</v>
      </c>
      <c r="G1935" s="25" t="str">
        <f ca="1">IFERROR(__xludf.DUMMYFUNCTION("""COMPUTED_VALUE"""),"PAPAYAL")</f>
        <v>PAPAYAL</v>
      </c>
      <c r="H1935" s="25" t="str">
        <f ca="1">IFERROR(__xludf.DUMMYFUNCTION("""COMPUTED_VALUE"""),"URBANO")</f>
        <v>URBANO</v>
      </c>
      <c r="I1935" s="25" t="str">
        <f ca="1">IFERROR(__xludf.DUMMYFUNCTION("""COMPUTED_VALUE"""),"Prioridad 3")</f>
        <v>Prioridad 3</v>
      </c>
      <c r="J1935" s="43" t="s">
        <v>264</v>
      </c>
    </row>
    <row r="1936" spans="2:10">
      <c r="B1936" s="25" t="str">
        <f ca="1">IFERROR(__xludf.DUMMYFUNCTION("""COMPUTED_VALUE"""),"MUNICIPALIDAD DISTRITAL")</f>
        <v>MUNICIPALIDAD DISTRITAL</v>
      </c>
      <c r="C1936" s="25" t="str">
        <f ca="1">IFERROR(__xludf.DUMMYFUNCTION("""COMPUTED_VALUE"""),"MUNICIPALIDAD DISTRITAL DE MATAPALO")</f>
        <v>MUNICIPALIDAD DISTRITAL DE MATAPALO</v>
      </c>
      <c r="D1936" s="25" t="str">
        <f ca="1">IFERROR(__xludf.DUMMYFUNCTION("""COMPUTED_VALUE"""),"PIURA")</f>
        <v>PIURA</v>
      </c>
      <c r="E1936" s="25" t="str">
        <f ca="1">IFERROR(__xludf.DUMMYFUNCTION("""COMPUTED_VALUE"""),"TUMBES")</f>
        <v>TUMBES</v>
      </c>
      <c r="F1936" s="25" t="str">
        <f ca="1">IFERROR(__xludf.DUMMYFUNCTION("""COMPUTED_VALUE"""),"ZARUMILLA")</f>
        <v>ZARUMILLA</v>
      </c>
      <c r="G1936" s="25" t="str">
        <f ca="1">IFERROR(__xludf.DUMMYFUNCTION("""COMPUTED_VALUE"""),"MATAPALO")</f>
        <v>MATAPALO</v>
      </c>
      <c r="H1936" s="25" t="str">
        <f ca="1">IFERROR(__xludf.DUMMYFUNCTION("""COMPUTED_VALUE"""),"URBANO")</f>
        <v>URBANO</v>
      </c>
      <c r="I1936" s="25" t="str">
        <f ca="1">IFERROR(__xludf.DUMMYFUNCTION("""COMPUTED_VALUE"""),"Prioridad 2")</f>
        <v>Prioridad 2</v>
      </c>
      <c r="J1936" s="43" t="s">
        <v>264</v>
      </c>
    </row>
    <row r="1937" spans="2:10">
      <c r="B1937" s="25" t="str">
        <f ca="1">IFERROR(__xludf.DUMMYFUNCTION("""COMPUTED_VALUE"""),"MUNICIPALIDAD PROVINCIAL")</f>
        <v>MUNICIPALIDAD PROVINCIAL</v>
      </c>
      <c r="C1937" s="25" t="str">
        <f ca="1">IFERROR(__xludf.DUMMYFUNCTION("""COMPUTED_VALUE"""),"MUNICIPALIDAD PROVINCIAL DE ATALAYA")</f>
        <v>MUNICIPALIDAD PROVINCIAL DE ATALAYA</v>
      </c>
      <c r="D1937" s="25" t="str">
        <f ca="1">IFERROR(__xludf.DUMMYFUNCTION("""COMPUTED_VALUE"""),"LORETO")</f>
        <v>LORETO</v>
      </c>
      <c r="E1937" s="25" t="str">
        <f ca="1">IFERROR(__xludf.DUMMYFUNCTION("""COMPUTED_VALUE"""),"UCAYALI")</f>
        <v>UCAYALI</v>
      </c>
      <c r="F1937" s="25" t="str">
        <f ca="1">IFERROR(__xludf.DUMMYFUNCTION("""COMPUTED_VALUE"""),"ATALAYA")</f>
        <v>ATALAYA</v>
      </c>
      <c r="G1937" s="25" t="str">
        <f ca="1">IFERROR(__xludf.DUMMYFUNCTION("""COMPUTED_VALUE"""),"RAIMONDI")</f>
        <v>RAIMONDI</v>
      </c>
      <c r="H1937" s="25" t="str">
        <f ca="1">IFERROR(__xludf.DUMMYFUNCTION("""COMPUTED_VALUE"""),"URBANO")</f>
        <v>URBANO</v>
      </c>
      <c r="I1937" s="25" t="str">
        <f ca="1">IFERROR(__xludf.DUMMYFUNCTION("""COMPUTED_VALUE"""),"Prioridad 1")</f>
        <v>Prioridad 1</v>
      </c>
      <c r="J1937" s="42" t="s">
        <v>260</v>
      </c>
    </row>
    <row r="1938" spans="2:10">
      <c r="B1938" s="25" t="str">
        <f ca="1">IFERROR(__xludf.DUMMYFUNCTION("""COMPUTED_VALUE"""),"MUNICIPALIDAD DISTRITAL")</f>
        <v>MUNICIPALIDAD DISTRITAL</v>
      </c>
      <c r="C1938" s="25" t="str">
        <f ca="1">IFERROR(__xludf.DUMMYFUNCTION("""COMPUTED_VALUE"""),"MUNICIPALIDAD DISTRITAL DE SEPAHUA")</f>
        <v>MUNICIPALIDAD DISTRITAL DE SEPAHUA</v>
      </c>
      <c r="D1938" s="25" t="str">
        <f ca="1">IFERROR(__xludf.DUMMYFUNCTION("""COMPUTED_VALUE"""),"LORETO")</f>
        <v>LORETO</v>
      </c>
      <c r="E1938" s="25" t="str">
        <f ca="1">IFERROR(__xludf.DUMMYFUNCTION("""COMPUTED_VALUE"""),"UCAYALI")</f>
        <v>UCAYALI</v>
      </c>
      <c r="F1938" s="25" t="str">
        <f ca="1">IFERROR(__xludf.DUMMYFUNCTION("""COMPUTED_VALUE"""),"ATALAYA")</f>
        <v>ATALAYA</v>
      </c>
      <c r="G1938" s="25" t="str">
        <f ca="1">IFERROR(__xludf.DUMMYFUNCTION("""COMPUTED_VALUE"""),"SEPAHUA")</f>
        <v>SEPAHUA</v>
      </c>
      <c r="H1938" s="25" t="str">
        <f ca="1">IFERROR(__xludf.DUMMYFUNCTION("""COMPUTED_VALUE"""),"RURAL")</f>
        <v>RURAL</v>
      </c>
      <c r="I1938" s="25" t="str">
        <f ca="1">IFERROR(__xludf.DUMMYFUNCTION("""COMPUTED_VALUE"""),"Prioridad 2")</f>
        <v>Prioridad 2</v>
      </c>
      <c r="J1938" s="43" t="s">
        <v>263</v>
      </c>
    </row>
    <row r="1939" spans="2:10">
      <c r="B1939" s="25" t="str">
        <f ca="1">IFERROR(__xludf.DUMMYFUNCTION("""COMPUTED_VALUE"""),"MUNICIPALIDAD DISTRITAL")</f>
        <v>MUNICIPALIDAD DISTRITAL</v>
      </c>
      <c r="C1939" s="25" t="str">
        <f ca="1">IFERROR(__xludf.DUMMYFUNCTION("""COMPUTED_VALUE"""),"MUNICIPALIDAD DISTRITAL DE TAHUANIA")</f>
        <v>MUNICIPALIDAD DISTRITAL DE TAHUANIA</v>
      </c>
      <c r="D1939" s="25" t="str">
        <f ca="1">IFERROR(__xludf.DUMMYFUNCTION("""COMPUTED_VALUE"""),"LORETO")</f>
        <v>LORETO</v>
      </c>
      <c r="E1939" s="25" t="str">
        <f ca="1">IFERROR(__xludf.DUMMYFUNCTION("""COMPUTED_VALUE"""),"UCAYALI")</f>
        <v>UCAYALI</v>
      </c>
      <c r="F1939" s="25" t="str">
        <f ca="1">IFERROR(__xludf.DUMMYFUNCTION("""COMPUTED_VALUE"""),"ATALAYA")</f>
        <v>ATALAYA</v>
      </c>
      <c r="G1939" s="25" t="str">
        <f ca="1">IFERROR(__xludf.DUMMYFUNCTION("""COMPUTED_VALUE"""),"TAHUANIA")</f>
        <v>TAHUANIA</v>
      </c>
      <c r="H1939" s="25" t="str">
        <f ca="1">IFERROR(__xludf.DUMMYFUNCTION("""COMPUTED_VALUE"""),"RURAL")</f>
        <v>RURAL</v>
      </c>
      <c r="I1939" s="25" t="str">
        <f ca="1">IFERROR(__xludf.DUMMYFUNCTION("""COMPUTED_VALUE"""),"Prioridad 5")</f>
        <v>Prioridad 5</v>
      </c>
      <c r="J1939" s="43" t="s">
        <v>262</v>
      </c>
    </row>
    <row r="1940" spans="2:10">
      <c r="B1940" s="25" t="str">
        <f ca="1">IFERROR(__xludf.DUMMYFUNCTION("""COMPUTED_VALUE"""),"MUNICIPALIDAD DISTRITAL")</f>
        <v>MUNICIPALIDAD DISTRITAL</v>
      </c>
      <c r="C1940" s="25" t="str">
        <f ca="1">IFERROR(__xludf.DUMMYFUNCTION("""COMPUTED_VALUE"""),"MUNICIPALIDAD DISTRITAL DE YURUA")</f>
        <v>MUNICIPALIDAD DISTRITAL DE YURUA</v>
      </c>
      <c r="D1940" s="25" t="str">
        <f ca="1">IFERROR(__xludf.DUMMYFUNCTION("""COMPUTED_VALUE"""),"LORETO")</f>
        <v>LORETO</v>
      </c>
      <c r="E1940" s="25" t="str">
        <f ca="1">IFERROR(__xludf.DUMMYFUNCTION("""COMPUTED_VALUE"""),"UCAYALI")</f>
        <v>UCAYALI</v>
      </c>
      <c r="F1940" s="25" t="str">
        <f ca="1">IFERROR(__xludf.DUMMYFUNCTION("""COMPUTED_VALUE"""),"ATALAYA")</f>
        <v>ATALAYA</v>
      </c>
      <c r="G1940" s="25" t="str">
        <f ca="1">IFERROR(__xludf.DUMMYFUNCTION("""COMPUTED_VALUE"""),"YURUA")</f>
        <v>YURUA</v>
      </c>
      <c r="H1940" s="25" t="str">
        <f ca="1">IFERROR(__xludf.DUMMYFUNCTION("""COMPUTED_VALUE"""),"RURAL")</f>
        <v>RURAL</v>
      </c>
      <c r="I1940" s="25" t="str">
        <f ca="1">IFERROR(__xludf.DUMMYFUNCTION("""COMPUTED_VALUE"""),"Prioridad 5")</f>
        <v>Prioridad 5</v>
      </c>
      <c r="J1940" s="43" t="s">
        <v>261</v>
      </c>
    </row>
    <row r="1941" spans="2:10">
      <c r="B1941" s="25" t="str">
        <f ca="1">IFERROR(__xludf.DUMMYFUNCTION("""COMPUTED_VALUE"""),"MUNICIPALIDAD PROVINCIAL")</f>
        <v>MUNICIPALIDAD PROVINCIAL</v>
      </c>
      <c r="C1941" s="25" t="str">
        <f ca="1">IFERROR(__xludf.DUMMYFUNCTION("""COMPUTED_VALUE"""),"MUNICIPALIDAD PROVINCIAL DE CORONEL PORTILLO")</f>
        <v>MUNICIPALIDAD PROVINCIAL DE CORONEL PORTILLO</v>
      </c>
      <c r="D1941" s="25" t="str">
        <f ca="1">IFERROR(__xludf.DUMMYFUNCTION("""COMPUTED_VALUE"""),"LORETO")</f>
        <v>LORETO</v>
      </c>
      <c r="E1941" s="25" t="str">
        <f ca="1">IFERROR(__xludf.DUMMYFUNCTION("""COMPUTED_VALUE"""),"UCAYALI")</f>
        <v>UCAYALI</v>
      </c>
      <c r="F1941" s="25" t="str">
        <f ca="1">IFERROR(__xludf.DUMMYFUNCTION("""COMPUTED_VALUE"""),"CORONEL PORTILLO")</f>
        <v>CORONEL PORTILLO</v>
      </c>
      <c r="G1941" s="25" t="str">
        <f ca="1">IFERROR(__xludf.DUMMYFUNCTION("""COMPUTED_VALUE"""),"CALLERIA")</f>
        <v>CALLERIA</v>
      </c>
      <c r="H1941" s="25" t="str">
        <f ca="1">IFERROR(__xludf.DUMMYFUNCTION("""COMPUTED_VALUE"""),"URBANO")</f>
        <v>URBANO</v>
      </c>
      <c r="I1941" s="25" t="str">
        <f ca="1">IFERROR(__xludf.DUMMYFUNCTION("""COMPUTED_VALUE"""),"Prioridad 1")</f>
        <v>Prioridad 1</v>
      </c>
      <c r="J1941" s="43" t="s">
        <v>264</v>
      </c>
    </row>
    <row r="1942" spans="2:10">
      <c r="B1942" s="25" t="str">
        <f ca="1">IFERROR(__xludf.DUMMYFUNCTION("""COMPUTED_VALUE"""),"MUNICIPALIDAD DISTRITAL")</f>
        <v>MUNICIPALIDAD DISTRITAL</v>
      </c>
      <c r="C1942" s="25" t="str">
        <f ca="1">IFERROR(__xludf.DUMMYFUNCTION("""COMPUTED_VALUE"""),"MUNICIPALIDAD DISTRITAL DE CAMPOVERDE")</f>
        <v>MUNICIPALIDAD DISTRITAL DE CAMPOVERDE</v>
      </c>
      <c r="D1942" s="25" t="str">
        <f ca="1">IFERROR(__xludf.DUMMYFUNCTION("""COMPUTED_VALUE"""),"LORETO")</f>
        <v>LORETO</v>
      </c>
      <c r="E1942" s="25" t="str">
        <f ca="1">IFERROR(__xludf.DUMMYFUNCTION("""COMPUTED_VALUE"""),"UCAYALI")</f>
        <v>UCAYALI</v>
      </c>
      <c r="F1942" s="25" t="str">
        <f ca="1">IFERROR(__xludf.DUMMYFUNCTION("""COMPUTED_VALUE"""),"CORONEL PORTILLO")</f>
        <v>CORONEL PORTILLO</v>
      </c>
      <c r="G1942" s="25" t="str">
        <f ca="1">IFERROR(__xludf.DUMMYFUNCTION("""COMPUTED_VALUE"""),"CAMPOVERDE")</f>
        <v>CAMPOVERDE</v>
      </c>
      <c r="H1942" s="25" t="str">
        <f ca="1">IFERROR(__xludf.DUMMYFUNCTION("""COMPUTED_VALUE"""),"RURAL")</f>
        <v>RURAL</v>
      </c>
      <c r="I1942" s="25" t="str">
        <f ca="1">IFERROR(__xludf.DUMMYFUNCTION("""COMPUTED_VALUE"""),"Prioridad 2")</f>
        <v>Prioridad 2</v>
      </c>
      <c r="J1942" s="43" t="s">
        <v>261</v>
      </c>
    </row>
    <row r="1943" spans="2:10">
      <c r="B1943" s="25" t="str">
        <f ca="1">IFERROR(__xludf.DUMMYFUNCTION("""COMPUTED_VALUE"""),"MUNICIPALIDAD DISTRITAL")</f>
        <v>MUNICIPALIDAD DISTRITAL</v>
      </c>
      <c r="C1943" s="25" t="str">
        <f ca="1">IFERROR(__xludf.DUMMYFUNCTION("""COMPUTED_VALUE"""),"MUNICIPALIDAD DISTRITAL DE IPARIA")</f>
        <v>MUNICIPALIDAD DISTRITAL DE IPARIA</v>
      </c>
      <c r="D1943" s="25" t="str">
        <f ca="1">IFERROR(__xludf.DUMMYFUNCTION("""COMPUTED_VALUE"""),"LORETO")</f>
        <v>LORETO</v>
      </c>
      <c r="E1943" s="25" t="str">
        <f ca="1">IFERROR(__xludf.DUMMYFUNCTION("""COMPUTED_VALUE"""),"UCAYALI")</f>
        <v>UCAYALI</v>
      </c>
      <c r="F1943" s="25" t="str">
        <f ca="1">IFERROR(__xludf.DUMMYFUNCTION("""COMPUTED_VALUE"""),"CORONEL PORTILLO")</f>
        <v>CORONEL PORTILLO</v>
      </c>
      <c r="G1943" s="25" t="str">
        <f ca="1">IFERROR(__xludf.DUMMYFUNCTION("""COMPUTED_VALUE"""),"IPARIA")</f>
        <v>IPARIA</v>
      </c>
      <c r="H1943" s="25" t="str">
        <f ca="1">IFERROR(__xludf.DUMMYFUNCTION("""COMPUTED_VALUE"""),"RURAL")</f>
        <v>RURAL</v>
      </c>
      <c r="I1943" s="25" t="str">
        <f ca="1">IFERROR(__xludf.DUMMYFUNCTION("""COMPUTED_VALUE"""),"Prioridad 5")</f>
        <v>Prioridad 5</v>
      </c>
      <c r="J1943" s="43" t="s">
        <v>263</v>
      </c>
    </row>
    <row r="1944" spans="2:10">
      <c r="B1944" s="25" t="str">
        <f ca="1">IFERROR(__xludf.DUMMYFUNCTION("""COMPUTED_VALUE"""),"MUNICIPALIDAD DISTRITAL")</f>
        <v>MUNICIPALIDAD DISTRITAL</v>
      </c>
      <c r="C1944" s="25" t="str">
        <f ca="1">IFERROR(__xludf.DUMMYFUNCTION("""COMPUTED_VALUE"""),"MUNICIPALIDAD DISTRITAL DE MASISEA")</f>
        <v>MUNICIPALIDAD DISTRITAL DE MASISEA</v>
      </c>
      <c r="D1944" s="25" t="str">
        <f ca="1">IFERROR(__xludf.DUMMYFUNCTION("""COMPUTED_VALUE"""),"LORETO")</f>
        <v>LORETO</v>
      </c>
      <c r="E1944" s="25" t="str">
        <f ca="1">IFERROR(__xludf.DUMMYFUNCTION("""COMPUTED_VALUE"""),"UCAYALI")</f>
        <v>UCAYALI</v>
      </c>
      <c r="F1944" s="25" t="str">
        <f ca="1">IFERROR(__xludf.DUMMYFUNCTION("""COMPUTED_VALUE"""),"CORONEL PORTILLO")</f>
        <v>CORONEL PORTILLO</v>
      </c>
      <c r="G1944" s="25" t="str">
        <f ca="1">IFERROR(__xludf.DUMMYFUNCTION("""COMPUTED_VALUE"""),"MASISEA")</f>
        <v>MASISEA</v>
      </c>
      <c r="H1944" s="25" t="str">
        <f ca="1">IFERROR(__xludf.DUMMYFUNCTION("""COMPUTED_VALUE"""),"RURAL")</f>
        <v>RURAL</v>
      </c>
      <c r="I1944" s="25" t="str">
        <f ca="1">IFERROR(__xludf.DUMMYFUNCTION("""COMPUTED_VALUE"""),"Prioridad 4")</f>
        <v>Prioridad 4</v>
      </c>
      <c r="J1944" s="43" t="s">
        <v>264</v>
      </c>
    </row>
    <row r="1945" spans="2:10">
      <c r="B1945" s="25" t="str">
        <f ca="1">IFERROR(__xludf.DUMMYFUNCTION("""COMPUTED_VALUE"""),"MUNICIPALIDAD DISTRITAL")</f>
        <v>MUNICIPALIDAD DISTRITAL</v>
      </c>
      <c r="C1945" s="25" t="str">
        <f ca="1">IFERROR(__xludf.DUMMYFUNCTION("""COMPUTED_VALUE"""),"MUNICIPALIDAD DISTRITAL DE YARINACOCHA")</f>
        <v>MUNICIPALIDAD DISTRITAL DE YARINACOCHA</v>
      </c>
      <c r="D1945" s="25" t="str">
        <f ca="1">IFERROR(__xludf.DUMMYFUNCTION("""COMPUTED_VALUE"""),"LORETO")</f>
        <v>LORETO</v>
      </c>
      <c r="E1945" s="25" t="str">
        <f ca="1">IFERROR(__xludf.DUMMYFUNCTION("""COMPUTED_VALUE"""),"UCAYALI")</f>
        <v>UCAYALI</v>
      </c>
      <c r="F1945" s="25" t="str">
        <f ca="1">IFERROR(__xludf.DUMMYFUNCTION("""COMPUTED_VALUE"""),"CORONEL PORTILLO")</f>
        <v>CORONEL PORTILLO</v>
      </c>
      <c r="G1945" s="25" t="str">
        <f ca="1">IFERROR(__xludf.DUMMYFUNCTION("""COMPUTED_VALUE"""),"YARINACOCHA")</f>
        <v>YARINACOCHA</v>
      </c>
      <c r="H1945" s="25" t="str">
        <f ca="1">IFERROR(__xludf.DUMMYFUNCTION("""COMPUTED_VALUE"""),"URBANO")</f>
        <v>URBANO</v>
      </c>
      <c r="I1945" s="25" t="str">
        <f ca="1">IFERROR(__xludf.DUMMYFUNCTION("""COMPUTED_VALUE"""),"Prioridad 1")</f>
        <v>Prioridad 1</v>
      </c>
      <c r="J1945" s="43" t="s">
        <v>263</v>
      </c>
    </row>
    <row r="1946" spans="2:10">
      <c r="B1946" s="25" t="str">
        <f ca="1">IFERROR(__xludf.DUMMYFUNCTION("""COMPUTED_VALUE"""),"MUNICIPALIDAD DISTRITAL")</f>
        <v>MUNICIPALIDAD DISTRITAL</v>
      </c>
      <c r="C1946" s="25" t="str">
        <f ca="1">IFERROR(__xludf.DUMMYFUNCTION("""COMPUTED_VALUE"""),"MUNICIPALIDAD DISTRITAL DE NUEVA REQUENA")</f>
        <v>MUNICIPALIDAD DISTRITAL DE NUEVA REQUENA</v>
      </c>
      <c r="D1946" s="25" t="str">
        <f ca="1">IFERROR(__xludf.DUMMYFUNCTION("""COMPUTED_VALUE"""),"LORETO")</f>
        <v>LORETO</v>
      </c>
      <c r="E1946" s="25" t="str">
        <f ca="1">IFERROR(__xludf.DUMMYFUNCTION("""COMPUTED_VALUE"""),"UCAYALI")</f>
        <v>UCAYALI</v>
      </c>
      <c r="F1946" s="25" t="str">
        <f ca="1">IFERROR(__xludf.DUMMYFUNCTION("""COMPUTED_VALUE"""),"CORONEL PORTILLO")</f>
        <v>CORONEL PORTILLO</v>
      </c>
      <c r="G1946" s="25" t="str">
        <f ca="1">IFERROR(__xludf.DUMMYFUNCTION("""COMPUTED_VALUE"""),"NUEVA REQUENA")</f>
        <v>NUEVA REQUENA</v>
      </c>
      <c r="H1946" s="25" t="str">
        <f ca="1">IFERROR(__xludf.DUMMYFUNCTION("""COMPUTED_VALUE"""),"RURAL")</f>
        <v>RURAL</v>
      </c>
      <c r="I1946" s="25" t="str">
        <f ca="1">IFERROR(__xludf.DUMMYFUNCTION("""COMPUTED_VALUE"""),"Prioridad 3")</f>
        <v>Prioridad 3</v>
      </c>
      <c r="J1946" s="43" t="s">
        <v>263</v>
      </c>
    </row>
    <row r="1947" spans="2:10">
      <c r="B1947" s="25" t="str">
        <f ca="1">IFERROR(__xludf.DUMMYFUNCTION("""COMPUTED_VALUE"""),"MUNICIPALIDAD DISTRITAL")</f>
        <v>MUNICIPALIDAD DISTRITAL</v>
      </c>
      <c r="C1947" s="25" t="str">
        <f ca="1">IFERROR(__xludf.DUMMYFUNCTION("""COMPUTED_VALUE"""),"MUNICIPALIDAD DISTRITAL DE MANANTAY")</f>
        <v>MUNICIPALIDAD DISTRITAL DE MANANTAY</v>
      </c>
      <c r="D1947" s="25" t="str">
        <f ca="1">IFERROR(__xludf.DUMMYFUNCTION("""COMPUTED_VALUE"""),"LORETO")</f>
        <v>LORETO</v>
      </c>
      <c r="E1947" s="25" t="str">
        <f ca="1">IFERROR(__xludf.DUMMYFUNCTION("""COMPUTED_VALUE"""),"UCAYALI")</f>
        <v>UCAYALI</v>
      </c>
      <c r="F1947" s="25" t="str">
        <f ca="1">IFERROR(__xludf.DUMMYFUNCTION("""COMPUTED_VALUE"""),"CORONEL PORTILLO")</f>
        <v>CORONEL PORTILLO</v>
      </c>
      <c r="G1947" s="25" t="str">
        <f ca="1">IFERROR(__xludf.DUMMYFUNCTION("""COMPUTED_VALUE"""),"MANANTAY")</f>
        <v>MANANTAY</v>
      </c>
      <c r="H1947" s="25" t="str">
        <f ca="1">IFERROR(__xludf.DUMMYFUNCTION("""COMPUTED_VALUE"""),"URBANO")</f>
        <v>URBANO</v>
      </c>
      <c r="I1947" s="25" t="str">
        <f ca="1">IFERROR(__xludf.DUMMYFUNCTION("""COMPUTED_VALUE"""),"Prioridad 1")</f>
        <v>Prioridad 1</v>
      </c>
      <c r="J1947" s="43" t="s">
        <v>262</v>
      </c>
    </row>
    <row r="1948" spans="2:10">
      <c r="B1948" s="25" t="str">
        <f ca="1">IFERROR(__xludf.DUMMYFUNCTION("""COMPUTED_VALUE"""),"GOBIERNO REGIONAL")</f>
        <v>GOBIERNO REGIONAL</v>
      </c>
      <c r="C1948" s="25" t="str">
        <f ca="1">IFERROR(__xludf.DUMMYFUNCTION("""COMPUTED_VALUE"""),"GOBIERNO REGIONAL DE UCAYALI")</f>
        <v>GOBIERNO REGIONAL DE UCAYALI</v>
      </c>
      <c r="D1948" s="25" t="str">
        <f ca="1">IFERROR(__xludf.DUMMYFUNCTION("""COMPUTED_VALUE"""),"LORETO")</f>
        <v>LORETO</v>
      </c>
      <c r="E1948" s="25" t="str">
        <f ca="1">IFERROR(__xludf.DUMMYFUNCTION("""COMPUTED_VALUE"""),"UCAYALI")</f>
        <v>UCAYALI</v>
      </c>
      <c r="F1948" s="25" t="str">
        <f ca="1">IFERROR(__xludf.DUMMYFUNCTION("""COMPUTED_VALUE"""),"CORONEL PORTILLO")</f>
        <v>CORONEL PORTILLO</v>
      </c>
      <c r="G1948" s="25" t="str">
        <f ca="1">IFERROR(__xludf.DUMMYFUNCTION("""COMPUTED_VALUE"""),"CALLERIA")</f>
        <v>CALLERIA</v>
      </c>
      <c r="H1948" s="25" t="str">
        <f ca="1">IFERROR(__xludf.DUMMYFUNCTION("""COMPUTED_VALUE"""),"URBANO")</f>
        <v>URBANO</v>
      </c>
      <c r="I1948" s="25" t="str">
        <f ca="1">IFERROR(__xludf.DUMMYFUNCTION("""COMPUTED_VALUE"""),"Prioridad 1")</f>
        <v>Prioridad 1</v>
      </c>
      <c r="J1948" s="43" t="s">
        <v>262</v>
      </c>
    </row>
    <row r="1949" spans="2:10">
      <c r="B1949" s="25" t="str">
        <f ca="1">IFERROR(__xludf.DUMMYFUNCTION("""COMPUTED_VALUE"""),"MUNICIPALIDAD PROVINCIAL")</f>
        <v>MUNICIPALIDAD PROVINCIAL</v>
      </c>
      <c r="C1949" s="25" t="str">
        <f ca="1">IFERROR(__xludf.DUMMYFUNCTION("""COMPUTED_VALUE"""),"MUNICIPALIDAD PROVINCIAL DE PADRE ABAD")</f>
        <v>MUNICIPALIDAD PROVINCIAL DE PADRE ABAD</v>
      </c>
      <c r="D1949" s="25" t="str">
        <f ca="1">IFERROR(__xludf.DUMMYFUNCTION("""COMPUTED_VALUE"""),"LORETO")</f>
        <v>LORETO</v>
      </c>
      <c r="E1949" s="25" t="str">
        <f ca="1">IFERROR(__xludf.DUMMYFUNCTION("""COMPUTED_VALUE"""),"UCAYALI")</f>
        <v>UCAYALI</v>
      </c>
      <c r="F1949" s="25" t="str">
        <f ca="1">IFERROR(__xludf.DUMMYFUNCTION("""COMPUTED_VALUE"""),"PADRE ABAD")</f>
        <v>PADRE ABAD</v>
      </c>
      <c r="G1949" s="25" t="str">
        <f ca="1">IFERROR(__xludf.DUMMYFUNCTION("""COMPUTED_VALUE"""),"PADRE ABAD")</f>
        <v>PADRE ABAD</v>
      </c>
      <c r="H1949" s="25" t="str">
        <f ca="1">IFERROR(__xludf.DUMMYFUNCTION("""COMPUTED_VALUE"""),"URBANO")</f>
        <v>URBANO</v>
      </c>
      <c r="I1949" s="25" t="str">
        <f ca="1">IFERROR(__xludf.DUMMYFUNCTION("""COMPUTED_VALUE"""),"Prioridad 1")</f>
        <v>Prioridad 1</v>
      </c>
      <c r="J1949" s="43" t="s">
        <v>263</v>
      </c>
    </row>
    <row r="1950" spans="2:10">
      <c r="B1950" s="25" t="str">
        <f ca="1">IFERROR(__xludf.DUMMYFUNCTION("""COMPUTED_VALUE"""),"MUNICIPALIDAD DISTRITAL")</f>
        <v>MUNICIPALIDAD DISTRITAL</v>
      </c>
      <c r="C1950" s="25" t="str">
        <f ca="1">IFERROR(__xludf.DUMMYFUNCTION("""COMPUTED_VALUE"""),"MUNICIPALIDAD DISTRITAL DE IRAZOLA")</f>
        <v>MUNICIPALIDAD DISTRITAL DE IRAZOLA</v>
      </c>
      <c r="D1950" s="25" t="str">
        <f ca="1">IFERROR(__xludf.DUMMYFUNCTION("""COMPUTED_VALUE"""),"LORETO")</f>
        <v>LORETO</v>
      </c>
      <c r="E1950" s="25" t="str">
        <f ca="1">IFERROR(__xludf.DUMMYFUNCTION("""COMPUTED_VALUE"""),"UCAYALI")</f>
        <v>UCAYALI</v>
      </c>
      <c r="F1950" s="25" t="str">
        <f ca="1">IFERROR(__xludf.DUMMYFUNCTION("""COMPUTED_VALUE"""),"PADRE ABAD")</f>
        <v>PADRE ABAD</v>
      </c>
      <c r="G1950" s="25" t="str">
        <f ca="1">IFERROR(__xludf.DUMMYFUNCTION("""COMPUTED_VALUE"""),"IRAZOLA")</f>
        <v>IRAZOLA</v>
      </c>
      <c r="H1950" s="25" t="str">
        <f ca="1">IFERROR(__xludf.DUMMYFUNCTION("""COMPUTED_VALUE"""),"URBANO")</f>
        <v>URBANO</v>
      </c>
      <c r="I1950" s="25" t="str">
        <f ca="1">IFERROR(__xludf.DUMMYFUNCTION("""COMPUTED_VALUE"""),"Prioridad 2")</f>
        <v>Prioridad 2</v>
      </c>
      <c r="J1950" s="43" t="s">
        <v>261</v>
      </c>
    </row>
    <row r="1951" spans="2:10">
      <c r="B1951" s="25" t="str">
        <f ca="1">IFERROR(__xludf.DUMMYFUNCTION("""COMPUTED_VALUE"""),"MUNICIPALIDAD DISTRITAL")</f>
        <v>MUNICIPALIDAD DISTRITAL</v>
      </c>
      <c r="C1951" s="25" t="str">
        <f ca="1">IFERROR(__xludf.DUMMYFUNCTION("""COMPUTED_VALUE"""),"MUNICIPALIDAD DISTRITAL DE CURIMANA")</f>
        <v>MUNICIPALIDAD DISTRITAL DE CURIMANA</v>
      </c>
      <c r="D1951" s="25" t="str">
        <f ca="1">IFERROR(__xludf.DUMMYFUNCTION("""COMPUTED_VALUE"""),"LORETO")</f>
        <v>LORETO</v>
      </c>
      <c r="E1951" s="25" t="str">
        <f ca="1">IFERROR(__xludf.DUMMYFUNCTION("""COMPUTED_VALUE"""),"UCAYALI")</f>
        <v>UCAYALI</v>
      </c>
      <c r="F1951" s="25" t="str">
        <f ca="1">IFERROR(__xludf.DUMMYFUNCTION("""COMPUTED_VALUE"""),"PADRE ABAD")</f>
        <v>PADRE ABAD</v>
      </c>
      <c r="G1951" s="25" t="str">
        <f ca="1">IFERROR(__xludf.DUMMYFUNCTION("""COMPUTED_VALUE"""),"CURIMANA")</f>
        <v>CURIMANA</v>
      </c>
      <c r="H1951" s="25" t="str">
        <f ca="1">IFERROR(__xludf.DUMMYFUNCTION("""COMPUTED_VALUE"""),"RURAL")</f>
        <v>RURAL</v>
      </c>
      <c r="I1951" s="25" t="str">
        <f ca="1">IFERROR(__xludf.DUMMYFUNCTION("""COMPUTED_VALUE"""),"Prioridad 4")</f>
        <v>Prioridad 4</v>
      </c>
      <c r="J1951" s="43" t="s">
        <v>263</v>
      </c>
    </row>
    <row r="1952" spans="2:10">
      <c r="B1952" s="25" t="str">
        <f ca="1">IFERROR(__xludf.DUMMYFUNCTION("""COMPUTED_VALUE"""),"MUNICIPALIDAD DISTRITAL")</f>
        <v>MUNICIPALIDAD DISTRITAL</v>
      </c>
      <c r="C1952" s="25" t="str">
        <f ca="1">IFERROR(__xludf.DUMMYFUNCTION("""COMPUTED_VALUE"""),"MUNICIPALIDAD DISTRITAL DE ALEXANDER VON HUMBOLDT")</f>
        <v>MUNICIPALIDAD DISTRITAL DE ALEXANDER VON HUMBOLDT</v>
      </c>
      <c r="D1952" s="25" t="str">
        <f ca="1">IFERROR(__xludf.DUMMYFUNCTION("""COMPUTED_VALUE"""),"LORETO")</f>
        <v>LORETO</v>
      </c>
      <c r="E1952" s="25" t="str">
        <f ca="1">IFERROR(__xludf.DUMMYFUNCTION("""COMPUTED_VALUE"""),"UCAYALI")</f>
        <v>UCAYALI</v>
      </c>
      <c r="F1952" s="25" t="str">
        <f ca="1">IFERROR(__xludf.DUMMYFUNCTION("""COMPUTED_VALUE"""),"PADRE ABAD")</f>
        <v>PADRE ABAD</v>
      </c>
      <c r="G1952" s="25" t="str">
        <f ca="1">IFERROR(__xludf.DUMMYFUNCTION("""COMPUTED_VALUE"""),"ALEXANDER VON HUMBOLDT")</f>
        <v>ALEXANDER VON HUMBOLDT</v>
      </c>
      <c r="H1952" s="25" t="str">
        <f ca="1">IFERROR(__xludf.DUMMYFUNCTION("""COMPUTED_VALUE"""),"URBANO")</f>
        <v>URBANO</v>
      </c>
      <c r="I1952" s="25" t="str">
        <f ca="1">IFERROR(__xludf.DUMMYFUNCTION("""COMPUTED_VALUE"""),"Prioridad 2")</f>
        <v>Prioridad 2</v>
      </c>
      <c r="J1952" s="43" t="s">
        <v>262</v>
      </c>
    </row>
    <row r="1953" spans="2:10">
      <c r="B1953" s="25" t="str">
        <f ca="1">IFERROR(__xludf.DUMMYFUNCTION("""COMPUTED_VALUE"""),"MUNICIPALIDAD DISTRITAL")</f>
        <v>MUNICIPALIDAD DISTRITAL</v>
      </c>
      <c r="C1953" s="25" t="str">
        <f ca="1">IFERROR(__xludf.DUMMYFUNCTION("""COMPUTED_VALUE"""),"MUNICIPALIDAD DISTRITAL DE NESHUYA")</f>
        <v>MUNICIPALIDAD DISTRITAL DE NESHUYA</v>
      </c>
      <c r="D1953" s="25" t="str">
        <f ca="1">IFERROR(__xludf.DUMMYFUNCTION("""COMPUTED_VALUE"""),"LORETO")</f>
        <v>LORETO</v>
      </c>
      <c r="E1953" s="25" t="str">
        <f ca="1">IFERROR(__xludf.DUMMYFUNCTION("""COMPUTED_VALUE"""),"UCAYALI")</f>
        <v>UCAYALI</v>
      </c>
      <c r="F1953" s="25" t="str">
        <f ca="1">IFERROR(__xludf.DUMMYFUNCTION("""COMPUTED_VALUE"""),"PADRE ABAD")</f>
        <v>PADRE ABAD</v>
      </c>
      <c r="G1953" s="25" t="str">
        <f ca="1">IFERROR(__xludf.DUMMYFUNCTION("""COMPUTED_VALUE"""),"NESHUYA")</f>
        <v>NESHUYA</v>
      </c>
      <c r="H1953" s="25" t="str">
        <f ca="1">IFERROR(__xludf.DUMMYFUNCTION("""COMPUTED_VALUE"""),"RURAL")</f>
        <v>RURAL</v>
      </c>
      <c r="I1953" s="25" t="str">
        <f ca="1">IFERROR(__xludf.DUMMYFUNCTION("""COMPUTED_VALUE"""),"Prioridad 2")</f>
        <v>Prioridad 2</v>
      </c>
      <c r="J1953" s="42" t="s">
        <v>260</v>
      </c>
    </row>
    <row r="1954" spans="2:10">
      <c r="B1954" s="25" t="str">
        <f ca="1">IFERROR(__xludf.DUMMYFUNCTION("""COMPUTED_VALUE"""),"MUNICIPALIDAD DISTRITAL")</f>
        <v>MUNICIPALIDAD DISTRITAL</v>
      </c>
      <c r="C1954" s="25" t="str">
        <f ca="1">IFERROR(__xludf.DUMMYFUNCTION("""COMPUTED_VALUE"""),"MUNICIPALIDAD DISTRITAL DE HUIPOCA")</f>
        <v>MUNICIPALIDAD DISTRITAL DE HUIPOCA</v>
      </c>
      <c r="D1954" s="25" t="str">
        <f ca="1">IFERROR(__xludf.DUMMYFUNCTION("""COMPUTED_VALUE"""),"LORETO")</f>
        <v>LORETO</v>
      </c>
      <c r="E1954" s="25" t="str">
        <f ca="1">IFERROR(__xludf.DUMMYFUNCTION("""COMPUTED_VALUE"""),"UCAYALI")</f>
        <v>UCAYALI</v>
      </c>
      <c r="F1954" s="25" t="str">
        <f ca="1">IFERROR(__xludf.DUMMYFUNCTION("""COMPUTED_VALUE"""),"PADRE ABAD")</f>
        <v>PADRE ABAD</v>
      </c>
      <c r="G1954" s="25" t="str">
        <f ca="1">IFERROR(__xludf.DUMMYFUNCTION("""COMPUTED_VALUE"""),"HUIPOCA")</f>
        <v>HUIPOCA</v>
      </c>
      <c r="H1954" s="25" t="str">
        <f ca="1">IFERROR(__xludf.DUMMYFUNCTION("""COMPUTED_VALUE"""),"RURAL")</f>
        <v>RURAL</v>
      </c>
      <c r="I1954" s="25" t="str">
        <f ca="1">IFERROR(__xludf.DUMMYFUNCTION("""COMPUTED_VALUE"""),"Prioridad 5")</f>
        <v>Prioridad 5</v>
      </c>
      <c r="J1954" s="43" t="s">
        <v>262</v>
      </c>
    </row>
    <row r="1955" spans="2:10">
      <c r="B1955" s="25" t="str">
        <f ca="1">IFERROR(__xludf.DUMMYFUNCTION("""COMPUTED_VALUE"""),"MUNICIPALIDAD DISTRITAL")</f>
        <v>MUNICIPALIDAD DISTRITAL</v>
      </c>
      <c r="C1955" s="25" t="str">
        <f ca="1">IFERROR(__xludf.DUMMYFUNCTION("""COMPUTED_VALUE"""),"MUNICIPALIDAD DISTRITAL DE BOQUERON")</f>
        <v>MUNICIPALIDAD DISTRITAL DE BOQUERON</v>
      </c>
      <c r="D1955" s="25" t="str">
        <f ca="1">IFERROR(__xludf.DUMMYFUNCTION("""COMPUTED_VALUE"""),"LORETO")</f>
        <v>LORETO</v>
      </c>
      <c r="E1955" s="25" t="str">
        <f ca="1">IFERROR(__xludf.DUMMYFUNCTION("""COMPUTED_VALUE"""),"UCAYALI")</f>
        <v>UCAYALI</v>
      </c>
      <c r="F1955" s="25" t="str">
        <f ca="1">IFERROR(__xludf.DUMMYFUNCTION("""COMPUTED_VALUE"""),"PADRE ABAD")</f>
        <v>PADRE ABAD</v>
      </c>
      <c r="G1955" s="25" t="str">
        <f ca="1">IFERROR(__xludf.DUMMYFUNCTION("""COMPUTED_VALUE"""),"BOQUERON")</f>
        <v>BOQUERON</v>
      </c>
      <c r="H1955" s="25" t="str">
        <f ca="1">IFERROR(__xludf.DUMMYFUNCTION("""COMPUTED_VALUE"""),"RURAL")</f>
        <v>RURAL</v>
      </c>
      <c r="I1955" s="25" t="str">
        <f ca="1">IFERROR(__xludf.DUMMYFUNCTION("""COMPUTED_VALUE"""),"Prioridad 5")</f>
        <v>Prioridad 5</v>
      </c>
      <c r="J1955" s="43" t="s">
        <v>261</v>
      </c>
    </row>
    <row r="1956" spans="2:10">
      <c r="B1956" s="25" t="str">
        <f ca="1">IFERROR(__xludf.DUMMYFUNCTION("""COMPUTED_VALUE"""),"MUNICIPALIDAD PROVINCIAL")</f>
        <v>MUNICIPALIDAD PROVINCIAL</v>
      </c>
      <c r="C1956" s="25" t="str">
        <f ca="1">IFERROR(__xludf.DUMMYFUNCTION("""COMPUTED_VALUE"""),"MUNICIPALIDAD PROVINCIAL DE PURUS")</f>
        <v>MUNICIPALIDAD PROVINCIAL DE PURUS</v>
      </c>
      <c r="D1956" s="25" t="str">
        <f ca="1">IFERROR(__xludf.DUMMYFUNCTION("""COMPUTED_VALUE"""),"LORETO")</f>
        <v>LORETO</v>
      </c>
      <c r="E1956" s="25" t="str">
        <f ca="1">IFERROR(__xludf.DUMMYFUNCTION("""COMPUTED_VALUE"""),"UCAYALI")</f>
        <v>UCAYALI</v>
      </c>
      <c r="F1956" s="25" t="str">
        <f ca="1">IFERROR(__xludf.DUMMYFUNCTION("""COMPUTED_VALUE"""),"PURUS")</f>
        <v>PURUS</v>
      </c>
      <c r="G1956" s="25" t="str">
        <f ca="1">IFERROR(__xludf.DUMMYFUNCTION("""COMPUTED_VALUE"""),"PURUS")</f>
        <v>PURUS</v>
      </c>
      <c r="H1956" s="25" t="str">
        <f ca="1">IFERROR(__xludf.DUMMYFUNCTION("""COMPUTED_VALUE"""),"RURAL")</f>
        <v>RURAL</v>
      </c>
      <c r="I1956" s="25" t="str">
        <f ca="1">IFERROR(__xludf.DUMMYFUNCTION("""COMPUTED_VALUE"""),"Prioridad 2")</f>
        <v>Prioridad 2</v>
      </c>
      <c r="J1956" s="43" t="s">
        <v>262</v>
      </c>
    </row>
    <row r="1957" spans="2:10">
      <c r="B1957" s="25" t="str">
        <f ca="1">IFERROR(__xludf.DUMMYFUNCTION("""COMPUTED_VALUE"""),"UNIVERSIDAD PRIVADA")</f>
        <v>UNIVERSIDAD PRIVADA</v>
      </c>
      <c r="C1957" s="25" t="str">
        <f ca="1">IFERROR(__xludf.DUMMYFUNCTION("""COMPUTED_VALUE"""),"UNIVERSIDAD PRIVADA DE ICA S.A.C.")</f>
        <v>UNIVERSIDAD PRIVADA DE ICA S.A.C.</v>
      </c>
      <c r="D1957" s="25" t="str">
        <f ca="1">IFERROR(__xludf.DUMMYFUNCTION("""COMPUTED_VALUE"""),"ICA")</f>
        <v>ICA</v>
      </c>
      <c r="E1957" s="25" t="str">
        <f ca="1">IFERROR(__xludf.DUMMYFUNCTION("""COMPUTED_VALUE"""),"ICA")</f>
        <v>ICA</v>
      </c>
      <c r="F1957" s="25" t="str">
        <f ca="1">IFERROR(__xludf.DUMMYFUNCTION("""COMPUTED_VALUE"""),"ICA")</f>
        <v>ICA</v>
      </c>
      <c r="G1957" s="25" t="str">
        <f ca="1">IFERROR(__xludf.DUMMYFUNCTION("""COMPUTED_VALUE"""),"ICA")</f>
        <v>ICA</v>
      </c>
      <c r="H1957" s="25"/>
      <c r="I1957" s="25" t="str">
        <f ca="1">IFERROR(__xludf.DUMMYFUNCTION("""COMPUTED_VALUE"""),"Prioridad 5")</f>
        <v>Prioridad 5</v>
      </c>
      <c r="J1957" s="43" t="s">
        <v>263</v>
      </c>
    </row>
    <row r="1958" spans="2:10" ht="15.75" customHeight="1">
      <c r="B1958" s="25" t="str">
        <f ca="1">IFERROR(__xludf.DUMMYFUNCTION("""COMPUTED_VALUE"""),"UNIVERSIDAD PRIVADA")</f>
        <v>UNIVERSIDAD PRIVADA</v>
      </c>
      <c r="C1958" s="25" t="str">
        <f ca="1">IFERROR(__xludf.DUMMYFUNCTION("""COMPUTED_VALUE"""),"UNIVERSIDAD TECNOLÓGICA DE LOS ANDES")</f>
        <v>UNIVERSIDAD TECNOLÓGICA DE LOS ANDES</v>
      </c>
      <c r="D1958" s="25" t="str">
        <f ca="1">IFERROR(__xludf.DUMMYFUNCTION("""COMPUTED_VALUE"""),"CUZCO")</f>
        <v>CUZCO</v>
      </c>
      <c r="E1958" s="25" t="str">
        <f ca="1">IFERROR(__xludf.DUMMYFUNCTION("""COMPUTED_VALUE"""),"APURÍMAC")</f>
        <v>APURÍMAC</v>
      </c>
      <c r="F1958" s="25" t="str">
        <f ca="1">IFERROR(__xludf.DUMMYFUNCTION("""COMPUTED_VALUE"""),"ABANCAY")</f>
        <v>ABANCAY</v>
      </c>
      <c r="G1958" s="25" t="str">
        <f ca="1">IFERROR(__xludf.DUMMYFUNCTION("""COMPUTED_VALUE"""),"ABANCAY")</f>
        <v>ABANCAY</v>
      </c>
      <c r="H1958" s="25"/>
      <c r="I1958" s="25" t="str">
        <f ca="1">IFERROR(__xludf.DUMMYFUNCTION("""COMPUTED_VALUE"""),"Prioridad 3")</f>
        <v>Prioridad 3</v>
      </c>
      <c r="J1958" s="45"/>
    </row>
    <row r="1959" spans="2:10" ht="15.75" customHeight="1">
      <c r="B1959" s="25" t="str">
        <f ca="1">IFERROR(__xludf.DUMMYFUNCTION("""COMPUTED_VALUE"""),"UNIVERSIDAD PRIVADA")</f>
        <v>UNIVERSIDAD PRIVADA</v>
      </c>
      <c r="C1959" s="25" t="str">
        <f ca="1">IFERROR(__xludf.DUMMYFUNCTION("""COMPUTED_VALUE"""),"UNIVERSIDAD PERUANA LOS ANDES")</f>
        <v>UNIVERSIDAD PERUANA LOS ANDES</v>
      </c>
      <c r="D1959" s="25" t="str">
        <f ca="1">IFERROR(__xludf.DUMMYFUNCTION("""COMPUTED_VALUE"""),"JUNÍN")</f>
        <v>JUNÍN</v>
      </c>
      <c r="E1959" s="25" t="str">
        <f ca="1">IFERROR(__xludf.DUMMYFUNCTION("""COMPUTED_VALUE"""),"JUNÍN")</f>
        <v>JUNÍN</v>
      </c>
      <c r="F1959" s="25" t="str">
        <f ca="1">IFERROR(__xludf.DUMMYFUNCTION("""COMPUTED_VALUE"""),"HUANCAYO")</f>
        <v>HUANCAYO</v>
      </c>
      <c r="G1959" s="25" t="str">
        <f ca="1">IFERROR(__xludf.DUMMYFUNCTION("""COMPUTED_VALUE"""),"HUANCAYO")</f>
        <v>HUANCAYO</v>
      </c>
      <c r="H1959" s="25"/>
      <c r="I1959" s="25" t="str">
        <f ca="1">IFERROR(__xludf.DUMMYFUNCTION("""COMPUTED_VALUE"""),"Prioridad 3")</f>
        <v>Prioridad 3</v>
      </c>
      <c r="J1959" s="45"/>
    </row>
    <row r="1960" spans="2:10">
      <c r="B1960" s="25" t="str">
        <f ca="1">IFERROR(__xludf.DUMMYFUNCTION("""COMPUTED_VALUE"""),"UNIVERSIDAD PÚBLICA")</f>
        <v>UNIVERSIDAD PÚBLICA</v>
      </c>
      <c r="C1960" s="25" t="str">
        <f ca="1">IFERROR(__xludf.DUMMYFUNCTION("""COMPUTED_VALUE"""),"UNIVERSIDAD NACIONAL MICAELA BASTIDAS DE APURÍMAC")</f>
        <v>UNIVERSIDAD NACIONAL MICAELA BASTIDAS DE APURÍMAC</v>
      </c>
      <c r="D1960" s="25" t="str">
        <f ca="1">IFERROR(__xludf.DUMMYFUNCTION("""COMPUTED_VALUE"""),"CUZCO")</f>
        <v>CUZCO</v>
      </c>
      <c r="E1960" s="25" t="str">
        <f ca="1">IFERROR(__xludf.DUMMYFUNCTION("""COMPUTED_VALUE"""),"APURÍMAC")</f>
        <v>APURÍMAC</v>
      </c>
      <c r="F1960" s="25" t="str">
        <f ca="1">IFERROR(__xludf.DUMMYFUNCTION("""COMPUTED_VALUE"""),"ABANCAY")</f>
        <v>ABANCAY</v>
      </c>
      <c r="G1960" s="25" t="str">
        <f ca="1">IFERROR(__xludf.DUMMYFUNCTION("""COMPUTED_VALUE"""),"ABANCAY")</f>
        <v>ABANCAY</v>
      </c>
      <c r="H1960" s="25"/>
      <c r="I1960" s="25" t="str">
        <f ca="1">IFERROR(__xludf.DUMMYFUNCTION("""COMPUTED_VALUE"""),"Prioridad 2")</f>
        <v>Prioridad 2</v>
      </c>
      <c r="J1960" s="43" t="s">
        <v>262</v>
      </c>
    </row>
    <row r="1961" spans="2:10" ht="15.75" customHeight="1">
      <c r="B1961" s="25" t="str">
        <f ca="1">IFERROR(__xludf.DUMMYFUNCTION("""COMPUTED_VALUE"""),"UNIVERSIDAD PRIVADA")</f>
        <v>UNIVERSIDAD PRIVADA</v>
      </c>
      <c r="C1961" s="25" t="str">
        <f ca="1">IFERROR(__xludf.DUMMYFUNCTION("""COMPUTED_VALUE"""),"UNIVERSIDAD PRIVADA SEÑOR DE SIPÁN")</f>
        <v>UNIVERSIDAD PRIVADA SEÑOR DE SIPÁN</v>
      </c>
      <c r="D1961" s="25" t="str">
        <f ca="1">IFERROR(__xludf.DUMMYFUNCTION("""COMPUTED_VALUE"""),"LAMBAYEQUE")</f>
        <v>LAMBAYEQUE</v>
      </c>
      <c r="E1961" s="25" t="str">
        <f ca="1">IFERROR(__xludf.DUMMYFUNCTION("""COMPUTED_VALUE"""),"LAMBAYEQUE")</f>
        <v>LAMBAYEQUE</v>
      </c>
      <c r="F1961" s="25" t="str">
        <f ca="1">IFERROR(__xludf.DUMMYFUNCTION("""COMPUTED_VALUE"""),"CHICLAYO")</f>
        <v>CHICLAYO</v>
      </c>
      <c r="G1961" s="25" t="str">
        <f ca="1">IFERROR(__xludf.DUMMYFUNCTION("""COMPUTED_VALUE"""),"PIMENTEL")</f>
        <v>PIMENTEL</v>
      </c>
      <c r="H1961" s="25"/>
      <c r="I1961" s="25" t="str">
        <f ca="1">IFERROR(__xludf.DUMMYFUNCTION("""COMPUTED_VALUE"""),"Prioridad 2")</f>
        <v>Prioridad 2</v>
      </c>
      <c r="J1961" s="45"/>
    </row>
    <row r="1962" spans="2:10">
      <c r="B1962" s="25" t="str">
        <f ca="1">IFERROR(__xludf.DUMMYFUNCTION("""COMPUTED_VALUE"""),"UNIVERSIDAD PÚBLICA")</f>
        <v>UNIVERSIDAD PÚBLICA</v>
      </c>
      <c r="C1962" s="25" t="str">
        <f ca="1">IFERROR(__xludf.DUMMYFUNCTION("""COMPUTED_VALUE"""),"UNIVERSIDAD NACIONAL DE TUMBES")</f>
        <v>UNIVERSIDAD NACIONAL DE TUMBES</v>
      </c>
      <c r="D1962" s="25" t="str">
        <f ca="1">IFERROR(__xludf.DUMMYFUNCTION("""COMPUTED_VALUE"""),"PIURA")</f>
        <v>PIURA</v>
      </c>
      <c r="E1962" s="25" t="str">
        <f ca="1">IFERROR(__xludf.DUMMYFUNCTION("""COMPUTED_VALUE"""),"TUMBES")</f>
        <v>TUMBES</v>
      </c>
      <c r="F1962" s="25" t="str">
        <f ca="1">IFERROR(__xludf.DUMMYFUNCTION("""COMPUTED_VALUE"""),"TUMBES")</f>
        <v>TUMBES</v>
      </c>
      <c r="G1962" s="25" t="str">
        <f ca="1">IFERROR(__xludf.DUMMYFUNCTION("""COMPUTED_VALUE"""),"TUMBES")</f>
        <v>TUMBES</v>
      </c>
      <c r="H1962" s="25"/>
      <c r="I1962" s="25" t="str">
        <f ca="1">IFERROR(__xludf.DUMMYFUNCTION("""COMPUTED_VALUE"""),"Prioridad 2")</f>
        <v>Prioridad 2</v>
      </c>
      <c r="J1962" s="43" t="s">
        <v>262</v>
      </c>
    </row>
    <row r="1963" spans="2:10" ht="15.75" customHeight="1">
      <c r="B1963" s="25" t="str">
        <f ca="1">IFERROR(__xludf.DUMMYFUNCTION("""COMPUTED_VALUE"""),"UNIVERSIDAD PÚBLICA")</f>
        <v>UNIVERSIDAD PÚBLICA</v>
      </c>
      <c r="C1963" s="25" t="str">
        <f ca="1">IFERROR(__xludf.DUMMYFUNCTION("""COMPUTED_VALUE"""),"UNIVERSIDAD NACIONAL AMAZÓNICA DE MADRE DE DIOS")</f>
        <v>UNIVERSIDAD NACIONAL AMAZÓNICA DE MADRE DE DIOS</v>
      </c>
      <c r="D1963" s="25" t="str">
        <f ca="1">IFERROR(__xludf.DUMMYFUNCTION("""COMPUTED_VALUE"""),"CUZCO")</f>
        <v>CUZCO</v>
      </c>
      <c r="E1963" s="25" t="str">
        <f ca="1">IFERROR(__xludf.DUMMYFUNCTION("""COMPUTED_VALUE"""),"MADRE DE DIOS")</f>
        <v>MADRE DE DIOS</v>
      </c>
      <c r="F1963" s="25" t="str">
        <f ca="1">IFERROR(__xludf.DUMMYFUNCTION("""COMPUTED_VALUE"""),"TAMBOPATA")</f>
        <v>TAMBOPATA</v>
      </c>
      <c r="G1963" s="25" t="str">
        <f ca="1">IFERROR(__xludf.DUMMYFUNCTION("""COMPUTED_VALUE"""),"TAMBOPATA")</f>
        <v>TAMBOPATA</v>
      </c>
      <c r="H1963" s="25"/>
      <c r="I1963" s="25" t="str">
        <f ca="1">IFERROR(__xludf.DUMMYFUNCTION("""COMPUTED_VALUE"""),"Prioridad 2")</f>
        <v>Prioridad 2</v>
      </c>
      <c r="J1963" s="45"/>
    </row>
    <row r="1964" spans="2:10" ht="15.75" customHeight="1">
      <c r="B1964" s="25" t="str">
        <f ca="1">IFERROR(__xludf.DUMMYFUNCTION("""COMPUTED_VALUE"""),"UNIVERSIDAD PÚBLICA")</f>
        <v>UNIVERSIDAD PÚBLICA</v>
      </c>
      <c r="C1964" s="25" t="str">
        <f ca="1">IFERROR(__xludf.DUMMYFUNCTION("""COMPUTED_VALUE"""),"UNIVERSIDAD NACIONAL AGRARIA DE LA SELVA")</f>
        <v>UNIVERSIDAD NACIONAL AGRARIA DE LA SELVA</v>
      </c>
      <c r="D1964" s="25" t="str">
        <f ca="1">IFERROR(__xludf.DUMMYFUNCTION("""COMPUTED_VALUE"""),"JUNÍN")</f>
        <v>JUNÍN</v>
      </c>
      <c r="E1964" s="25" t="str">
        <f ca="1">IFERROR(__xludf.DUMMYFUNCTION("""COMPUTED_VALUE"""),"HUÁNUCO")</f>
        <v>HUÁNUCO</v>
      </c>
      <c r="F1964" s="25" t="str">
        <f ca="1">IFERROR(__xludf.DUMMYFUNCTION("""COMPUTED_VALUE"""),"HUANUCO")</f>
        <v>HUANUCO</v>
      </c>
      <c r="G1964" s="25" t="str">
        <f ca="1">IFERROR(__xludf.DUMMYFUNCTION("""COMPUTED_VALUE"""),"HUANUCO")</f>
        <v>HUANUCO</v>
      </c>
      <c r="H1964" s="25"/>
      <c r="I1964" s="25" t="str">
        <f ca="1">IFERROR(__xludf.DUMMYFUNCTION("""COMPUTED_VALUE"""),"Prioridad 2")</f>
        <v>Prioridad 2</v>
      </c>
      <c r="J1964" s="45"/>
    </row>
    <row r="1965" spans="2:10" ht="15.75" customHeight="1">
      <c r="B1965" s="25" t="str">
        <f ca="1">IFERROR(__xludf.DUMMYFUNCTION("""COMPUTED_VALUE"""),"UNIVERSIDAD PÚBLICA")</f>
        <v>UNIVERSIDAD PÚBLICA</v>
      </c>
      <c r="C1965" s="25" t="str">
        <f ca="1">IFERROR(__xludf.DUMMYFUNCTION("""COMPUTED_VALUE"""),"UNIVERSIDAD NACIONAL DANIEL ALCIDES CARRIÓN")</f>
        <v>UNIVERSIDAD NACIONAL DANIEL ALCIDES CARRIÓN</v>
      </c>
      <c r="D1965" s="25" t="str">
        <f ca="1">IFERROR(__xludf.DUMMYFUNCTION("""COMPUTED_VALUE"""),"JUNÍN")</f>
        <v>JUNÍN</v>
      </c>
      <c r="E1965" s="25" t="str">
        <f ca="1">IFERROR(__xludf.DUMMYFUNCTION("""COMPUTED_VALUE"""),"PASCO")</f>
        <v>PASCO</v>
      </c>
      <c r="F1965" s="25" t="str">
        <f ca="1">IFERROR(__xludf.DUMMYFUNCTION("""COMPUTED_VALUE"""),"PASCO")</f>
        <v>PASCO</v>
      </c>
      <c r="G1965" s="25" t="str">
        <f ca="1">IFERROR(__xludf.DUMMYFUNCTION("""COMPUTED_VALUE"""),"YANACANCHA")</f>
        <v>YANACANCHA</v>
      </c>
      <c r="H1965" s="25"/>
      <c r="I1965" s="25" t="str">
        <f ca="1">IFERROR(__xludf.DUMMYFUNCTION("""COMPUTED_VALUE"""),"Prioridad 2")</f>
        <v>Prioridad 2</v>
      </c>
      <c r="J1965" s="45"/>
    </row>
    <row r="1966" spans="2:10" ht="15.75" customHeight="1">
      <c r="B1966" s="25" t="str">
        <f ca="1">IFERROR(__xludf.DUMMYFUNCTION("""COMPUTED_VALUE"""),"UNIVERSIDAD PÚBLICA")</f>
        <v>UNIVERSIDAD PÚBLICA</v>
      </c>
      <c r="C1966" s="25" t="str">
        <f ca="1">IFERROR(__xludf.DUMMYFUNCTION("""COMPUTED_VALUE"""),"UNIVERSIDAD NACIONAL HERMILIO VALDIZÁN DE HUÁNUCO")</f>
        <v>UNIVERSIDAD NACIONAL HERMILIO VALDIZÁN DE HUÁNUCO</v>
      </c>
      <c r="D1966" s="25" t="str">
        <f ca="1">IFERROR(__xludf.DUMMYFUNCTION("""COMPUTED_VALUE"""),"JUNÍN")</f>
        <v>JUNÍN</v>
      </c>
      <c r="E1966" s="25" t="str">
        <f ca="1">IFERROR(__xludf.DUMMYFUNCTION("""COMPUTED_VALUE"""),"HUÁNUCO")</f>
        <v>HUÁNUCO</v>
      </c>
      <c r="F1966" s="25" t="str">
        <f ca="1">IFERROR(__xludf.DUMMYFUNCTION("""COMPUTED_VALUE"""),"LEONCIO PRADO")</f>
        <v>LEONCIO PRADO</v>
      </c>
      <c r="G1966" s="25" t="str">
        <f ca="1">IFERROR(__xludf.DUMMYFUNCTION("""COMPUTED_VALUE"""),"RUPA-RUPA")</f>
        <v>RUPA-RUPA</v>
      </c>
      <c r="H1966" s="25"/>
      <c r="I1966" s="25" t="str">
        <f ca="1">IFERROR(__xludf.DUMMYFUNCTION("""COMPUTED_VALUE"""),"Prioridad 1")</f>
        <v>Prioridad 1</v>
      </c>
      <c r="J1966" s="45"/>
    </row>
    <row r="1967" spans="2:10" ht="15.75" customHeight="1">
      <c r="B1967" s="25" t="str">
        <f ca="1">IFERROR(__xludf.DUMMYFUNCTION("""COMPUTED_VALUE"""),"UNIVERSIDAD PÚBLICA")</f>
        <v>UNIVERSIDAD PÚBLICA</v>
      </c>
      <c r="C1967" s="25" t="str">
        <f ca="1">IFERROR(__xludf.DUMMYFUNCTION("""COMPUTED_VALUE"""),"UNIVERSIDAD NACIONAL DE HUANCAVELICA")</f>
        <v>UNIVERSIDAD NACIONAL DE HUANCAVELICA</v>
      </c>
      <c r="D1967" s="25" t="str">
        <f ca="1">IFERROR(__xludf.DUMMYFUNCTION("""COMPUTED_VALUE"""),"JUNÍN")</f>
        <v>JUNÍN</v>
      </c>
      <c r="E1967" s="25" t="str">
        <f ca="1">IFERROR(__xludf.DUMMYFUNCTION("""COMPUTED_VALUE"""),"HUANCAVELICA")</f>
        <v>HUANCAVELICA</v>
      </c>
      <c r="F1967" s="25" t="str">
        <f ca="1">IFERROR(__xludf.DUMMYFUNCTION("""COMPUTED_VALUE"""),"HUANCAVELICA")</f>
        <v>HUANCAVELICA</v>
      </c>
      <c r="G1967" s="25" t="str">
        <f ca="1">IFERROR(__xludf.DUMMYFUNCTION("""COMPUTED_VALUE"""),"HUANCAVELICA")</f>
        <v>HUANCAVELICA</v>
      </c>
      <c r="H1967" s="25"/>
      <c r="I1967" s="25" t="str">
        <f ca="1">IFERROR(__xludf.DUMMYFUNCTION("""COMPUTED_VALUE"""),"Prioridad 2")</f>
        <v>Prioridad 2</v>
      </c>
      <c r="J1967" s="45"/>
    </row>
    <row r="1968" spans="2:10">
      <c r="B1968" s="25" t="str">
        <f ca="1">IFERROR(__xludf.DUMMYFUNCTION("""COMPUTED_VALUE"""),"UNIVERSIDAD PÚBLICA")</f>
        <v>UNIVERSIDAD PÚBLICA</v>
      </c>
      <c r="C1968" s="25" t="str">
        <f ca="1">IFERROR(__xludf.DUMMYFUNCTION("""COMPUTED_VALUE"""),"UNIVERSIDAD NACIONAL INTERCULTURAL DE QUILLABAMBA")</f>
        <v>UNIVERSIDAD NACIONAL INTERCULTURAL DE QUILLABAMBA</v>
      </c>
      <c r="D1968" s="25" t="str">
        <f ca="1">IFERROR(__xludf.DUMMYFUNCTION("""COMPUTED_VALUE"""),"CUZCO")</f>
        <v>CUZCO</v>
      </c>
      <c r="E1968" s="25" t="str">
        <f ca="1">IFERROR(__xludf.DUMMYFUNCTION("""COMPUTED_VALUE"""),"CUZCO")</f>
        <v>CUZCO</v>
      </c>
      <c r="F1968" s="25" t="str">
        <f ca="1">IFERROR(__xludf.DUMMYFUNCTION("""COMPUTED_VALUE"""),"LA CONVENCION")</f>
        <v>LA CONVENCION</v>
      </c>
      <c r="G1968" s="25" t="str">
        <f ca="1">IFERROR(__xludf.DUMMYFUNCTION("""COMPUTED_VALUE"""),"SANTA ANA")</f>
        <v>SANTA ANA</v>
      </c>
      <c r="H1968" s="25"/>
      <c r="I1968" s="25" t="str">
        <f ca="1">IFERROR(__xludf.DUMMYFUNCTION("""COMPUTED_VALUE"""),"Prioridad 5")</f>
        <v>Prioridad 5</v>
      </c>
      <c r="J1968" s="43" t="s">
        <v>261</v>
      </c>
    </row>
    <row r="1969" spans="2:10" ht="15.75" customHeight="1">
      <c r="B1969" s="25" t="str">
        <f ca="1">IFERROR(__xludf.DUMMYFUNCTION("""COMPUTED_VALUE"""),"UNIVERSIDAD PRIVADA")</f>
        <v>UNIVERSIDAD PRIVADA</v>
      </c>
      <c r="C1969" s="25" t="str">
        <f ca="1">IFERROR(__xludf.DUMMYFUNCTION("""COMPUTED_VALUE"""),"UNIVERSIDAD PRIVADA DE HUANCAYO FRANKLIN ROOSEVELT SOCIEDAD ANÓNIMA CERRADA")</f>
        <v>UNIVERSIDAD PRIVADA DE HUANCAYO FRANKLIN ROOSEVELT SOCIEDAD ANÓNIMA CERRADA</v>
      </c>
      <c r="D1969" s="25" t="str">
        <f ca="1">IFERROR(__xludf.DUMMYFUNCTION("""COMPUTED_VALUE"""),"JUNÍN")</f>
        <v>JUNÍN</v>
      </c>
      <c r="E1969" s="25" t="str">
        <f ca="1">IFERROR(__xludf.DUMMYFUNCTION("""COMPUTED_VALUE"""),"JUNÍN")</f>
        <v>JUNÍN</v>
      </c>
      <c r="F1969" s="25" t="str">
        <f ca="1">IFERROR(__xludf.DUMMYFUNCTION("""COMPUTED_VALUE"""),"HUANCAYO")</f>
        <v>HUANCAYO</v>
      </c>
      <c r="G1969" s="25" t="str">
        <f ca="1">IFERROR(__xludf.DUMMYFUNCTION("""COMPUTED_VALUE"""),"HUANCAYO")</f>
        <v>HUANCAYO</v>
      </c>
      <c r="H1969" s="25"/>
      <c r="I1969" s="25" t="str">
        <f ca="1">IFERROR(__xludf.DUMMYFUNCTION("""COMPUTED_VALUE"""),"Prioridad 3")</f>
        <v>Prioridad 3</v>
      </c>
      <c r="J1969" s="45"/>
    </row>
    <row r="1970" spans="2:10">
      <c r="B1970" s="25" t="str">
        <f ca="1">IFERROR(__xludf.DUMMYFUNCTION("""COMPUTED_VALUE"""),"UNIVERSIDAD PRIVADA")</f>
        <v>UNIVERSIDAD PRIVADA</v>
      </c>
      <c r="C1970" s="25" t="str">
        <f ca="1">IFERROR(__xludf.DUMMYFUNCTION("""COMPUTED_VALUE"""),"UNIVERSIDAD CÉSAR VALLEJO S.A.C.")</f>
        <v>UNIVERSIDAD CÉSAR VALLEJO S.A.C.</v>
      </c>
      <c r="D1970" s="25" t="str">
        <f ca="1">IFERROR(__xludf.DUMMYFUNCTION("""COMPUTED_VALUE"""),"LA LIBERTAD")</f>
        <v>LA LIBERTAD</v>
      </c>
      <c r="E1970" s="25" t="str">
        <f ca="1">IFERROR(__xludf.DUMMYFUNCTION("""COMPUTED_VALUE"""),"LA LIBERTAD")</f>
        <v>LA LIBERTAD</v>
      </c>
      <c r="F1970" s="25" t="str">
        <f ca="1">IFERROR(__xludf.DUMMYFUNCTION("""COMPUTED_VALUE"""),"TRUJILLO")</f>
        <v>TRUJILLO</v>
      </c>
      <c r="G1970" s="25" t="str">
        <f ca="1">IFERROR(__xludf.DUMMYFUNCTION("""COMPUTED_VALUE"""),"VICTOR LARCO HERRERA")</f>
        <v>VICTOR LARCO HERRERA</v>
      </c>
      <c r="H1970" s="25"/>
      <c r="I1970" s="25" t="str">
        <f ca="1">IFERROR(__xludf.DUMMYFUNCTION("""COMPUTED_VALUE"""),"Prioridad 3")</f>
        <v>Prioridad 3</v>
      </c>
      <c r="J1970" s="42" t="s">
        <v>260</v>
      </c>
    </row>
    <row r="1971" spans="2:10" ht="15.75" customHeight="1">
      <c r="B1971" s="25" t="str">
        <f ca="1">IFERROR(__xludf.DUMMYFUNCTION("""COMPUTED_VALUE"""),"UNIVERSIDAD PRIVADA")</f>
        <v>UNIVERSIDAD PRIVADA</v>
      </c>
      <c r="C1971" s="25" t="str">
        <f ca="1">IFERROR(__xludf.DUMMYFUNCTION("""COMPUTED_VALUE"""),"UNIVERSIDAD DE HUÁNUCO")</f>
        <v>UNIVERSIDAD DE HUÁNUCO</v>
      </c>
      <c r="D1971" s="25" t="str">
        <f ca="1">IFERROR(__xludf.DUMMYFUNCTION("""COMPUTED_VALUE"""),"JUNÍN")</f>
        <v>JUNÍN</v>
      </c>
      <c r="E1971" s="25" t="str">
        <f ca="1">IFERROR(__xludf.DUMMYFUNCTION("""COMPUTED_VALUE"""),"HUÁNUCO")</f>
        <v>HUÁNUCO</v>
      </c>
      <c r="F1971" s="25" t="str">
        <f ca="1">IFERROR(__xludf.DUMMYFUNCTION("""COMPUTED_VALUE"""),"HUANUCO")</f>
        <v>HUANUCO</v>
      </c>
      <c r="G1971" s="25" t="str">
        <f ca="1">IFERROR(__xludf.DUMMYFUNCTION("""COMPUTED_VALUE"""),"PILLCO MARCA")</f>
        <v>PILLCO MARCA</v>
      </c>
      <c r="H1971" s="25"/>
      <c r="I1971" s="25" t="str">
        <f ca="1">IFERROR(__xludf.DUMMYFUNCTION("""COMPUTED_VALUE"""),"Prioridad 3")</f>
        <v>Prioridad 3</v>
      </c>
      <c r="J1971" s="45"/>
    </row>
    <row r="1972" spans="2:10" ht="15.75" customHeight="1">
      <c r="B1972" s="25" t="str">
        <f ca="1">IFERROR(__xludf.DUMMYFUNCTION("""COMPUTED_VALUE"""),"UNIVERSIDAD PÚBLICA")</f>
        <v>UNIVERSIDAD PÚBLICA</v>
      </c>
      <c r="C1972" s="25" t="str">
        <f ca="1">IFERROR(__xludf.DUMMYFUNCTION("""COMPUTED_VALUE"""),"UNIVERSIDAD NACIONAL DE PIURA")</f>
        <v>UNIVERSIDAD NACIONAL DE PIURA</v>
      </c>
      <c r="D1972" s="25" t="str">
        <f ca="1">IFERROR(__xludf.DUMMYFUNCTION("""COMPUTED_VALUE"""),"PIURA")</f>
        <v>PIURA</v>
      </c>
      <c r="E1972" s="25" t="str">
        <f ca="1">IFERROR(__xludf.DUMMYFUNCTION("""COMPUTED_VALUE"""),"PIURA")</f>
        <v>PIURA</v>
      </c>
      <c r="F1972" s="25" t="str">
        <f ca="1">IFERROR(__xludf.DUMMYFUNCTION("""COMPUTED_VALUE"""),"PIURA")</f>
        <v>PIURA</v>
      </c>
      <c r="G1972" s="25" t="str">
        <f ca="1">IFERROR(__xludf.DUMMYFUNCTION("""COMPUTED_VALUE"""),"CASTILLA")</f>
        <v>CASTILLA</v>
      </c>
      <c r="H1972" s="25"/>
      <c r="I1972" s="25" t="str">
        <f ca="1">IFERROR(__xludf.DUMMYFUNCTION("""COMPUTED_VALUE"""),"Prioridad 1")</f>
        <v>Prioridad 1</v>
      </c>
      <c r="J1972" s="45"/>
    </row>
    <row r="1973" spans="2:10" ht="15.75" customHeight="1">
      <c r="B1973" s="25" t="str">
        <f ca="1">IFERROR(__xludf.DUMMYFUNCTION("""COMPUTED_VALUE"""),"UNIVERSIDAD PRIVADA")</f>
        <v>UNIVERSIDAD PRIVADA</v>
      </c>
      <c r="C1973" s="25" t="str">
        <f ca="1">IFERROR(__xludf.DUMMYFUNCTION("""COMPUTED_VALUE"""),"UNIVERSIDAD ANDINA DEL CUSCO")</f>
        <v>UNIVERSIDAD ANDINA DEL CUSCO</v>
      </c>
      <c r="D1973" s="25" t="str">
        <f ca="1">IFERROR(__xludf.DUMMYFUNCTION("""COMPUTED_VALUE"""),"CUZCO")</f>
        <v>CUZCO</v>
      </c>
      <c r="E1973" s="25" t="str">
        <f ca="1">IFERROR(__xludf.DUMMYFUNCTION("""COMPUTED_VALUE"""),"CUZCO")</f>
        <v>CUZCO</v>
      </c>
      <c r="F1973" s="25" t="str">
        <f ca="1">IFERROR(__xludf.DUMMYFUNCTION("""COMPUTED_VALUE"""),"CUZCO")</f>
        <v>CUZCO</v>
      </c>
      <c r="G1973" s="25" t="str">
        <f ca="1">IFERROR(__xludf.DUMMYFUNCTION("""COMPUTED_VALUE"""),"SAN JERONIMO")</f>
        <v>SAN JERONIMO</v>
      </c>
      <c r="H1973" s="25"/>
      <c r="I1973" s="25" t="str">
        <f ca="1">IFERROR(__xludf.DUMMYFUNCTION("""COMPUTED_VALUE"""),"Prioridad 1")</f>
        <v>Prioridad 1</v>
      </c>
      <c r="J1973" s="45"/>
    </row>
    <row r="1974" spans="2:10">
      <c r="B1974" s="25" t="str">
        <f ca="1">IFERROR(__xludf.DUMMYFUNCTION("""COMPUTED_VALUE"""),"UNIVERSIDAD PÚBLICA")</f>
        <v>UNIVERSIDAD PÚBLICA</v>
      </c>
      <c r="C1974" s="25" t="str">
        <f ca="1">IFERROR(__xludf.DUMMYFUNCTION("""COMPUTED_VALUE"""),"UNIVERSIDAD NACIONAL DE SAN MARTÍN")</f>
        <v>UNIVERSIDAD NACIONAL DE SAN MARTÍN</v>
      </c>
      <c r="D1974" s="25" t="str">
        <f ca="1">IFERROR(__xludf.DUMMYFUNCTION("""COMPUTED_VALUE"""),"SAN MARTÍN")</f>
        <v>SAN MARTÍN</v>
      </c>
      <c r="E1974" s="25" t="str">
        <f ca="1">IFERROR(__xludf.DUMMYFUNCTION("""COMPUTED_VALUE"""),"SAN MARTÍN")</f>
        <v>SAN MARTÍN</v>
      </c>
      <c r="F1974" s="25" t="str">
        <f ca="1">IFERROR(__xludf.DUMMYFUNCTION("""COMPUTED_VALUE"""),"SAN MARTIN")</f>
        <v>SAN MARTIN</v>
      </c>
      <c r="G1974" s="25" t="str">
        <f ca="1">IFERROR(__xludf.DUMMYFUNCTION("""COMPUTED_VALUE"""),"TARAPOTO")</f>
        <v>TARAPOTO</v>
      </c>
      <c r="H1974" s="25"/>
      <c r="I1974" s="25" t="str">
        <f ca="1">IFERROR(__xludf.DUMMYFUNCTION("""COMPUTED_VALUE"""),"Prioridad 2")</f>
        <v>Prioridad 2</v>
      </c>
      <c r="J1974" s="43" t="s">
        <v>262</v>
      </c>
    </row>
    <row r="1975" spans="2:10">
      <c r="B1975" s="25" t="str">
        <f ca="1">IFERROR(__xludf.DUMMYFUNCTION("""COMPUTED_VALUE"""),"UNIVERSIDAD PÚBLICA")</f>
        <v>UNIVERSIDAD PÚBLICA</v>
      </c>
      <c r="C1975" s="25" t="str">
        <f ca="1">IFERROR(__xludf.DUMMYFUNCTION("""COMPUTED_VALUE"""),"UNIVERSIDAD NACIONAL DE FRONTERA")</f>
        <v>UNIVERSIDAD NACIONAL DE FRONTERA</v>
      </c>
      <c r="D1975" s="25" t="str">
        <f ca="1">IFERROR(__xludf.DUMMYFUNCTION("""COMPUTED_VALUE"""),"PIURA")</f>
        <v>PIURA</v>
      </c>
      <c r="E1975" s="25" t="str">
        <f ca="1">IFERROR(__xludf.DUMMYFUNCTION("""COMPUTED_VALUE"""),"PIURA")</f>
        <v>PIURA</v>
      </c>
      <c r="F1975" s="25" t="str">
        <f ca="1">IFERROR(__xludf.DUMMYFUNCTION("""COMPUTED_VALUE"""),"SULLANA")</f>
        <v>SULLANA</v>
      </c>
      <c r="G1975" s="25" t="str">
        <f ca="1">IFERROR(__xludf.DUMMYFUNCTION("""COMPUTED_VALUE"""),"SULLANA")</f>
        <v>SULLANA</v>
      </c>
      <c r="H1975" s="25"/>
      <c r="I1975" s="25" t="str">
        <f ca="1">IFERROR(__xludf.DUMMYFUNCTION("""COMPUTED_VALUE"""),"Prioridad 5")</f>
        <v>Prioridad 5</v>
      </c>
      <c r="J1975" s="42" t="s">
        <v>260</v>
      </c>
    </row>
    <row r="1976" spans="2:10" ht="15.75" customHeight="1">
      <c r="B1976" s="25" t="str">
        <f ca="1">IFERROR(__xludf.DUMMYFUNCTION("""COMPUTED_VALUE"""),"UNIVERSIDAD PÚBLICA")</f>
        <v>UNIVERSIDAD PÚBLICA</v>
      </c>
      <c r="C1976" s="25" t="str">
        <f ca="1">IFERROR(__xludf.DUMMYFUNCTION("""COMPUTED_VALUE"""),"UNIVERSIDAD NACIONAL DEL SANTA")</f>
        <v>UNIVERSIDAD NACIONAL DEL SANTA</v>
      </c>
      <c r="D1976" s="25" t="str">
        <f ca="1">IFERROR(__xludf.DUMMYFUNCTION("""COMPUTED_VALUE"""),"LA LIBERTAD")</f>
        <v>LA LIBERTAD</v>
      </c>
      <c r="E1976" s="25" t="str">
        <f ca="1">IFERROR(__xludf.DUMMYFUNCTION("""COMPUTED_VALUE"""),"ANCASH")</f>
        <v>ANCASH</v>
      </c>
      <c r="F1976" s="25" t="str">
        <f ca="1">IFERROR(__xludf.DUMMYFUNCTION("""COMPUTED_VALUE"""),"SANTA")</f>
        <v>SANTA</v>
      </c>
      <c r="G1976" s="25" t="str">
        <f ca="1">IFERROR(__xludf.DUMMYFUNCTION("""COMPUTED_VALUE"""),"NUEVO CHIMBOTE")</f>
        <v>NUEVO CHIMBOTE</v>
      </c>
      <c r="H1976" s="25"/>
      <c r="I1976" s="25" t="str">
        <f ca="1">IFERROR(__xludf.DUMMYFUNCTION("""COMPUTED_VALUE"""),"Prioridad 2")</f>
        <v>Prioridad 2</v>
      </c>
      <c r="J1976" s="45"/>
    </row>
    <row r="1977" spans="2:10" ht="15.75" customHeight="1">
      <c r="B1977" s="25" t="str">
        <f ca="1">IFERROR(__xludf.DUMMYFUNCTION("""COMPUTED_VALUE"""),"UNIVERSIDAD PÚBLICA")</f>
        <v>UNIVERSIDAD PÚBLICA</v>
      </c>
      <c r="C1977" s="25" t="str">
        <f ca="1">IFERROR(__xludf.DUMMYFUNCTION("""COMPUTED_VALUE"""),"UNIVERSIDAD NACIONAL DEL CENTRO DEL PERÚ")</f>
        <v>UNIVERSIDAD NACIONAL DEL CENTRO DEL PERÚ</v>
      </c>
      <c r="D1977" s="25" t="str">
        <f ca="1">IFERROR(__xludf.DUMMYFUNCTION("""COMPUTED_VALUE"""),"JUNÍN")</f>
        <v>JUNÍN</v>
      </c>
      <c r="E1977" s="25" t="str">
        <f ca="1">IFERROR(__xludf.DUMMYFUNCTION("""COMPUTED_VALUE"""),"JUNÍN")</f>
        <v>JUNÍN</v>
      </c>
      <c r="F1977" s="25" t="str">
        <f ca="1">IFERROR(__xludf.DUMMYFUNCTION("""COMPUTED_VALUE"""),"HUANCAYO")</f>
        <v>HUANCAYO</v>
      </c>
      <c r="G1977" s="25" t="str">
        <f ca="1">IFERROR(__xludf.DUMMYFUNCTION("""COMPUTED_VALUE"""),"HUANCAYO")</f>
        <v>HUANCAYO</v>
      </c>
      <c r="H1977" s="25"/>
      <c r="I1977" s="25" t="str">
        <f ca="1">IFERROR(__xludf.DUMMYFUNCTION("""COMPUTED_VALUE"""),"Prioridad 1")</f>
        <v>Prioridad 1</v>
      </c>
      <c r="J1977" s="45"/>
    </row>
    <row r="1978" spans="2:10" ht="15.75" customHeight="1">
      <c r="B1978" s="25" t="str">
        <f ca="1">IFERROR(__xludf.DUMMYFUNCTION("""COMPUTED_VALUE"""),"UNIVERSIDAD PRIVADA")</f>
        <v>UNIVERSIDAD PRIVADA</v>
      </c>
      <c r="C1978" s="25" t="str">
        <f ca="1">IFERROR(__xludf.DUMMYFUNCTION("""COMPUTED_VALUE"""),"UNIVERSIDAD ANDINA NÉSTOR CÁCERES VELÁSQUEZ")</f>
        <v>UNIVERSIDAD ANDINA NÉSTOR CÁCERES VELÁSQUEZ</v>
      </c>
      <c r="D1978" s="25" t="str">
        <f ca="1">IFERROR(__xludf.DUMMYFUNCTION("""COMPUTED_VALUE"""),"PUNO")</f>
        <v>PUNO</v>
      </c>
      <c r="E1978" s="25"/>
      <c r="F1978" s="25"/>
      <c r="G1978" s="25"/>
      <c r="H1978" s="25"/>
      <c r="I1978" s="25" t="str">
        <f ca="1">IFERROR(__xludf.DUMMYFUNCTION("""COMPUTED_VALUE"""),"Prioridad 1")</f>
        <v>Prioridad 1</v>
      </c>
      <c r="J1978" s="45"/>
    </row>
    <row r="1979" spans="2:10" ht="15.75" customHeight="1">
      <c r="B1979" s="25" t="str">
        <f ca="1">IFERROR(__xludf.DUMMYFUNCTION("""COMPUTED_VALUE"""),"UNIVERSIDAD PRIVADA")</f>
        <v>UNIVERSIDAD PRIVADA</v>
      </c>
      <c r="C1979" s="25" t="str">
        <f ca="1">IFERROR(__xludf.DUMMYFUNCTION("""COMPUTED_VALUE"""),"UNIVERSIDAD PRIVADA SAN CARLOS SOCIEDAD ANÓNIMA CERRADA")</f>
        <v>UNIVERSIDAD PRIVADA SAN CARLOS SOCIEDAD ANÓNIMA CERRADA</v>
      </c>
      <c r="D1979" s="25" t="str">
        <f ca="1">IFERROR(__xludf.DUMMYFUNCTION("""COMPUTED_VALUE"""),"PUNO")</f>
        <v>PUNO</v>
      </c>
      <c r="E1979" s="25"/>
      <c r="F1979" s="25"/>
      <c r="G1979" s="25"/>
      <c r="H1979" s="25"/>
      <c r="I1979" s="25" t="str">
        <f ca="1">IFERROR(__xludf.DUMMYFUNCTION("""COMPUTED_VALUE"""),"Prioridad 4")</f>
        <v>Prioridad 4</v>
      </c>
      <c r="J1979" s="45"/>
    </row>
    <row r="1980" spans="2:10" ht="15.75" customHeight="1">
      <c r="B1980" s="25" t="str">
        <f ca="1">IFERROR(__xludf.DUMMYFUNCTION("""COMPUTED_VALUE"""),"OTROS")</f>
        <v>OTROS</v>
      </c>
      <c r="C1980" s="25" t="str">
        <f ca="1">IFERROR(__xludf.DUMMYFUNCTION("""COMPUTED_VALUE"""),"ESCUELA SUPERIOR DE FORMACIÓN ARTÍSTICA PÚBLICA DE JULIACA")</f>
        <v>ESCUELA SUPERIOR DE FORMACIÓN ARTÍSTICA PÚBLICA DE JULIACA</v>
      </c>
      <c r="D1980" s="25" t="str">
        <f ca="1">IFERROR(__xludf.DUMMYFUNCTION("""COMPUTED_VALUE"""),"PUNO")</f>
        <v>PUNO</v>
      </c>
      <c r="E1980" s="25" t="str">
        <f ca="1">IFERROR(__xludf.DUMMYFUNCTION("""COMPUTED_VALUE"""),"PUNO")</f>
        <v>PUNO</v>
      </c>
      <c r="F1980" s="25"/>
      <c r="G1980" s="25"/>
      <c r="H1980" s="25"/>
      <c r="I1980" s="25" t="str">
        <f ca="1">IFERROR(__xludf.DUMMYFUNCTION("""COMPUTED_VALUE"""),"No aplica")</f>
        <v>No aplica</v>
      </c>
      <c r="J1980" s="45"/>
    </row>
    <row r="1981" spans="2:10" ht="15.75" customHeight="1">
      <c r="B1981" s="25" t="str">
        <f ca="1">IFERROR(__xludf.DUMMYFUNCTION("""COMPUTED_VALUE"""),"OTROS")</f>
        <v>OTROS</v>
      </c>
      <c r="C1981" s="25" t="str">
        <f ca="1">IFERROR(__xludf.DUMMYFUNCTION("""COMPUTED_VALUE"""),"ESCUELA SUPERIOR DE FORMACIÓN ARTÍSTICA PÚBLICA DE PUNO")</f>
        <v>ESCUELA SUPERIOR DE FORMACIÓN ARTÍSTICA PÚBLICA DE PUNO</v>
      </c>
      <c r="D1981" s="25" t="str">
        <f ca="1">IFERROR(__xludf.DUMMYFUNCTION("""COMPUTED_VALUE"""),"PUNO")</f>
        <v>PUNO</v>
      </c>
      <c r="E1981" s="25" t="str">
        <f ca="1">IFERROR(__xludf.DUMMYFUNCTION("""COMPUTED_VALUE"""),"PUNO")</f>
        <v>PUNO</v>
      </c>
      <c r="F1981" s="25"/>
      <c r="G1981" s="25"/>
      <c r="H1981" s="25"/>
      <c r="I1981" s="25" t="str">
        <f ca="1">IFERROR(__xludf.DUMMYFUNCTION("""COMPUTED_VALUE"""),"No aplica")</f>
        <v>No aplica</v>
      </c>
      <c r="J1981" s="45"/>
    </row>
    <row r="1982" spans="2:10" ht="15.75" customHeight="1">
      <c r="B1982" s="25" t="str">
        <f ca="1">IFERROR(__xludf.DUMMYFUNCTION("""COMPUTED_VALUE"""),"OTROS")</f>
        <v>OTROS</v>
      </c>
      <c r="C1982" s="25" t="str">
        <f ca="1">IFERROR(__xludf.DUMMYFUNCTION("""COMPUTED_VALUE"""),"ESCUELA SUPERIOR DE FORMACIÓN ARTÍSTICA PÚBLICA PILCUYO - ILAVE DE PUNO")</f>
        <v>ESCUELA SUPERIOR DE FORMACIÓN ARTÍSTICA PÚBLICA PILCUYO - ILAVE DE PUNO</v>
      </c>
      <c r="D1982" s="25" t="str">
        <f ca="1">IFERROR(__xludf.DUMMYFUNCTION("""COMPUTED_VALUE"""),"PUNO")</f>
        <v>PUNO</v>
      </c>
      <c r="E1982" s="25" t="str">
        <f ca="1">IFERROR(__xludf.DUMMYFUNCTION("""COMPUTED_VALUE"""),"PUNO")</f>
        <v>PUNO</v>
      </c>
      <c r="F1982" s="25"/>
      <c r="G1982" s="25"/>
      <c r="H1982" s="25"/>
      <c r="I1982" s="25" t="str">
        <f ca="1">IFERROR(__xludf.DUMMYFUNCTION("""COMPUTED_VALUE"""),"No aplica")</f>
        <v>No aplica</v>
      </c>
      <c r="J1982" s="45"/>
    </row>
    <row r="1983" spans="2:10" ht="15.75" customHeight="1">
      <c r="B1983" s="25" t="str">
        <f ca="1">IFERROR(__xludf.DUMMYFUNCTION("""COMPUTED_VALUE"""),"UNIVERSIDAD PRIVADA")</f>
        <v>UNIVERSIDAD PRIVADA</v>
      </c>
      <c r="C1983" s="25" t="str">
        <f ca="1">IFERROR(__xludf.DUMMYFUNCTION("""COMPUTED_VALUE"""),"UNIVERSIDAD CATÓLICA DE TRUJILLO BENEDICTO XVI")</f>
        <v>UNIVERSIDAD CATÓLICA DE TRUJILLO BENEDICTO XVI</v>
      </c>
      <c r="D1983" s="25" t="str">
        <f ca="1">IFERROR(__xludf.DUMMYFUNCTION("""COMPUTED_VALUE"""),"LA LIBERTAD")</f>
        <v>LA LIBERTAD</v>
      </c>
      <c r="E1983" s="25" t="str">
        <f ca="1">IFERROR(__xludf.DUMMYFUNCTION("""COMPUTED_VALUE"""),"LA LIBERTAD")</f>
        <v>LA LIBERTAD</v>
      </c>
      <c r="F1983" s="25" t="str">
        <f ca="1">IFERROR(__xludf.DUMMYFUNCTION("""COMPUTED_VALUE"""),"TRUJILLO")</f>
        <v>TRUJILLO</v>
      </c>
      <c r="G1983" s="25" t="str">
        <f ca="1">IFERROR(__xludf.DUMMYFUNCTION("""COMPUTED_VALUE"""),"TRUJILLO")</f>
        <v>TRUJILLO</v>
      </c>
      <c r="H1983" s="25"/>
      <c r="I1983" s="25" t="str">
        <f ca="1">IFERROR(__xludf.DUMMYFUNCTION("""COMPUTED_VALUE"""),"Prioridad 3")</f>
        <v>Prioridad 3</v>
      </c>
      <c r="J1983" s="45"/>
    </row>
    <row r="1984" spans="2:10" ht="15.75" customHeight="1">
      <c r="B1984" s="25" t="str">
        <f ca="1">IFERROR(__xludf.DUMMYFUNCTION("""COMPUTED_VALUE"""),"UNIVERSIDAD PÚBLICA")</f>
        <v>UNIVERSIDAD PÚBLICA</v>
      </c>
      <c r="C1984" s="25" t="str">
        <f ca="1">IFERROR(__xludf.DUMMYFUNCTION("""COMPUTED_VALUE"""),"UNIVERSIDAD NACIONAL AUTÓNOMA DE TAYACAJA DANIEL HERNÁNDEZ MORILLO")</f>
        <v>UNIVERSIDAD NACIONAL AUTÓNOMA DE TAYACAJA DANIEL HERNÁNDEZ MORILLO</v>
      </c>
      <c r="D1984" s="25" t="str">
        <f ca="1">IFERROR(__xludf.DUMMYFUNCTION("""COMPUTED_VALUE"""),"JUNÍN")</f>
        <v>JUNÍN</v>
      </c>
      <c r="E1984" s="25" t="str">
        <f ca="1">IFERROR(__xludf.DUMMYFUNCTION("""COMPUTED_VALUE"""),"HUANCAVELICA")</f>
        <v>HUANCAVELICA</v>
      </c>
      <c r="F1984" s="25" t="str">
        <f ca="1">IFERROR(__xludf.DUMMYFUNCTION("""COMPUTED_VALUE"""),"TAYACAJA")</f>
        <v>TAYACAJA</v>
      </c>
      <c r="G1984" s="25" t="str">
        <f ca="1">IFERROR(__xludf.DUMMYFUNCTION("""COMPUTED_VALUE"""),"PAMPAS")</f>
        <v>PAMPAS</v>
      </c>
      <c r="H1984" s="25"/>
      <c r="I1984" s="25" t="str">
        <f ca="1">IFERROR(__xludf.DUMMYFUNCTION("""COMPUTED_VALUE"""),"Prioridad 5")</f>
        <v>Prioridad 5</v>
      </c>
      <c r="J1984" s="45"/>
    </row>
    <row r="1985" spans="2:10" ht="15.75" customHeight="1">
      <c r="B1985" s="25" t="str">
        <f ca="1">IFERROR(__xludf.DUMMYFUNCTION("""COMPUTED_VALUE"""),"UNIVERSIDAD PÚBLICA")</f>
        <v>UNIVERSIDAD PÚBLICA</v>
      </c>
      <c r="C1985" s="25" t="str">
        <f ca="1">IFERROR(__xludf.DUMMYFUNCTION("""COMPUTED_VALUE"""),"UNIVERSIDAD NACIONAL DE LA AMAZONÍA PERUANA")</f>
        <v>UNIVERSIDAD NACIONAL DE LA AMAZONÍA PERUANA</v>
      </c>
      <c r="D1985" s="25" t="str">
        <f ca="1">IFERROR(__xludf.DUMMYFUNCTION("""COMPUTED_VALUE"""),"LORETO")</f>
        <v>LORETO</v>
      </c>
      <c r="E1985" s="25" t="str">
        <f ca="1">IFERROR(__xludf.DUMMYFUNCTION("""COMPUTED_VALUE"""),"LORETO")</f>
        <v>LORETO</v>
      </c>
      <c r="F1985" s="25" t="str">
        <f ca="1">IFERROR(__xludf.DUMMYFUNCTION("""COMPUTED_VALUE"""),"MAYNAS")</f>
        <v>MAYNAS</v>
      </c>
      <c r="G1985" s="25" t="str">
        <f ca="1">IFERROR(__xludf.DUMMYFUNCTION("""COMPUTED_VALUE"""),"IQUITOS")</f>
        <v>IQUITOS</v>
      </c>
      <c r="H1985" s="25"/>
      <c r="I1985" s="25" t="str">
        <f ca="1">IFERROR(__xludf.DUMMYFUNCTION("""COMPUTED_VALUE"""),"Prioridad 4")</f>
        <v>Prioridad 4</v>
      </c>
      <c r="J1985" s="45"/>
    </row>
    <row r="1986" spans="2:10">
      <c r="B1986" s="25" t="str">
        <f ca="1">IFERROR(__xludf.DUMMYFUNCTION("""COMPUTED_VALUE"""),"UNIVERSIDAD PÚBLICA")</f>
        <v>UNIVERSIDAD PÚBLICA</v>
      </c>
      <c r="C1986" s="25" t="str">
        <f ca="1">IFERROR(__xludf.DUMMYFUNCTION("""COMPUTED_VALUE"""),"UNIVERSIDAD NACIONAL SANTIAGO ANTÚNEZ DE MAYOLO")</f>
        <v>UNIVERSIDAD NACIONAL SANTIAGO ANTÚNEZ DE MAYOLO</v>
      </c>
      <c r="D1986" s="25" t="str">
        <f ca="1">IFERROR(__xludf.DUMMYFUNCTION("""COMPUTED_VALUE"""),"LA LIBERTAD")</f>
        <v>LA LIBERTAD</v>
      </c>
      <c r="E1986" s="25" t="str">
        <f ca="1">IFERROR(__xludf.DUMMYFUNCTION("""COMPUTED_VALUE"""),"ANCASH")</f>
        <v>ANCASH</v>
      </c>
      <c r="F1986" s="25" t="str">
        <f ca="1">IFERROR(__xludf.DUMMYFUNCTION("""COMPUTED_VALUE"""),"HUARAZ")</f>
        <v>HUARAZ</v>
      </c>
      <c r="G1986" s="25" t="str">
        <f ca="1">IFERROR(__xludf.DUMMYFUNCTION("""COMPUTED_VALUE"""),"HUARAZ")</f>
        <v>HUARAZ</v>
      </c>
      <c r="H1986" s="25"/>
      <c r="I1986" s="25" t="str">
        <f ca="1">IFERROR(__xludf.DUMMYFUNCTION("""COMPUTED_VALUE"""),"Prioridad 1")</f>
        <v>Prioridad 1</v>
      </c>
      <c r="J1986" s="43" t="s">
        <v>262</v>
      </c>
    </row>
    <row r="1987" spans="2:10" ht="15.75" customHeight="1">
      <c r="B1987" s="25" t="str">
        <f ca="1">IFERROR(__xludf.DUMMYFUNCTION("""COMPUTED_VALUE"""),"OTROS")</f>
        <v>OTROS</v>
      </c>
      <c r="C1987" s="25" t="str">
        <f ca="1">IFERROR(__xludf.DUMMYFUNCTION("""COMPUTED_VALUE"""),"ESCUELA SUPERIOR DE FORMACIÓN ARTÍSTICA PÚBLICA DE ÁNCASH")</f>
        <v>ESCUELA SUPERIOR DE FORMACIÓN ARTÍSTICA PÚBLICA DE ÁNCASH</v>
      </c>
      <c r="D1987" s="25" t="str">
        <f ca="1">IFERROR(__xludf.DUMMYFUNCTION("""COMPUTED_VALUE"""),"SEDE CENTRAL")</f>
        <v>SEDE CENTRAL</v>
      </c>
      <c r="E1987" s="25" t="str">
        <f ca="1">IFERROR(__xludf.DUMMYFUNCTION("""COMPUTED_VALUE"""),"ANCASH")</f>
        <v>ANCASH</v>
      </c>
      <c r="F1987" s="25"/>
      <c r="G1987" s="25"/>
      <c r="H1987" s="25"/>
      <c r="I1987" s="25" t="str">
        <f ca="1">IFERROR(__xludf.DUMMYFUNCTION("""COMPUTED_VALUE"""),"No aplica")</f>
        <v>No aplica</v>
      </c>
      <c r="J1987" s="45"/>
    </row>
    <row r="1988" spans="2:10" ht="15.75" customHeight="1">
      <c r="B1988" s="25" t="str">
        <f ca="1">IFERROR(__xludf.DUMMYFUNCTION("""COMPUTED_VALUE"""),"UNIVERSIDAD PRIVADA")</f>
        <v>UNIVERSIDAD PRIVADA</v>
      </c>
      <c r="C1988" s="25" t="str">
        <f ca="1">IFERROR(__xludf.DUMMYFUNCTION("""COMPUTED_VALUE"""),"UNIVERSIDAD CATÓLICA LOS ÁNGELES DE CHIMBOTE")</f>
        <v>UNIVERSIDAD CATÓLICA LOS ÁNGELES DE CHIMBOTE</v>
      </c>
      <c r="D1988" s="25" t="str">
        <f ca="1">IFERROR(__xludf.DUMMYFUNCTION("""COMPUTED_VALUE"""),"LA LIBERTAD")</f>
        <v>LA LIBERTAD</v>
      </c>
      <c r="E1988" s="25" t="str">
        <f ca="1">IFERROR(__xludf.DUMMYFUNCTION("""COMPUTED_VALUE"""),"ANCASH")</f>
        <v>ANCASH</v>
      </c>
      <c r="F1988" s="25" t="str">
        <f ca="1">IFERROR(__xludf.DUMMYFUNCTION("""COMPUTED_VALUE"""),"SANTA")</f>
        <v>SANTA</v>
      </c>
      <c r="G1988" s="25" t="str">
        <f ca="1">IFERROR(__xludf.DUMMYFUNCTION("""COMPUTED_VALUE"""),"CHIMBOTE")</f>
        <v>CHIMBOTE</v>
      </c>
      <c r="H1988" s="25"/>
      <c r="I1988" s="25" t="str">
        <f ca="1">IFERROR(__xludf.DUMMYFUNCTION("""COMPUTED_VALUE"""),"Prioridad 1")</f>
        <v>Prioridad 1</v>
      </c>
      <c r="J1988" s="45"/>
    </row>
    <row r="1989" spans="2:10" ht="15.75" customHeight="1">
      <c r="B1989" s="25" t="str">
        <f ca="1">IFERROR(__xludf.DUMMYFUNCTION("""COMPUTED_VALUE"""),"UNIVERSIDAD PRIVADA")</f>
        <v>UNIVERSIDAD PRIVADA</v>
      </c>
      <c r="C1989" s="25" t="str">
        <f ca="1">IFERROR(__xludf.DUMMYFUNCTION("""COMPUTED_VALUE"""),"UNIVERSIDAD SAN PEDRO")</f>
        <v>UNIVERSIDAD SAN PEDRO</v>
      </c>
      <c r="D1989" s="25" t="str">
        <f ca="1">IFERROR(__xludf.DUMMYFUNCTION("""COMPUTED_VALUE"""),"LA LIBERTAD")</f>
        <v>LA LIBERTAD</v>
      </c>
      <c r="E1989" s="25" t="str">
        <f ca="1">IFERROR(__xludf.DUMMYFUNCTION("""COMPUTED_VALUE"""),"ANCASH")</f>
        <v>ANCASH</v>
      </c>
      <c r="F1989" s="25" t="str">
        <f ca="1">IFERROR(__xludf.DUMMYFUNCTION("""COMPUTED_VALUE"""),"SANTA")</f>
        <v>SANTA</v>
      </c>
      <c r="G1989" s="25" t="str">
        <f ca="1">IFERROR(__xludf.DUMMYFUNCTION("""COMPUTED_VALUE"""),"CHIMBOTE")</f>
        <v>CHIMBOTE</v>
      </c>
      <c r="H1989" s="25"/>
      <c r="I1989" s="25" t="str">
        <f ca="1">IFERROR(__xludf.DUMMYFUNCTION("""COMPUTED_VALUE"""),"Prioridad 3")</f>
        <v>Prioridad 3</v>
      </c>
      <c r="J1989" s="45"/>
    </row>
    <row r="1990" spans="2:10" ht="15.75" customHeight="1">
      <c r="B1990" s="25" t="str">
        <f ca="1">IFERROR(__xludf.DUMMYFUNCTION("""COMPUTED_VALUE"""),"UNIVERSIDAD PRIVADA")</f>
        <v>UNIVERSIDAD PRIVADA</v>
      </c>
      <c r="C1990" s="25" t="str">
        <f ca="1">IFERROR(__xludf.DUMMYFUNCTION("""COMPUTED_VALUE"""),"ESCUELA DE POSTGRADO NEUMANN BUSINESS SCHOOL S.A.C.")</f>
        <v>ESCUELA DE POSTGRADO NEUMANN BUSINESS SCHOOL S.A.C.</v>
      </c>
      <c r="D1990" s="25" t="str">
        <f ca="1">IFERROR(__xludf.DUMMYFUNCTION("""COMPUTED_VALUE"""),"TACNA")</f>
        <v>TACNA</v>
      </c>
      <c r="E1990" s="25" t="str">
        <f ca="1">IFERROR(__xludf.DUMMYFUNCTION("""COMPUTED_VALUE"""),"TACNA")</f>
        <v>TACNA</v>
      </c>
      <c r="F1990" s="25" t="str">
        <f ca="1">IFERROR(__xludf.DUMMYFUNCTION("""COMPUTED_VALUE"""),"TACNA")</f>
        <v>TACNA</v>
      </c>
      <c r="G1990" s="25" t="str">
        <f ca="1">IFERROR(__xludf.DUMMYFUNCTION("""COMPUTED_VALUE"""),"TACNA")</f>
        <v>TACNA</v>
      </c>
      <c r="H1990" s="25"/>
      <c r="I1990" s="25" t="str">
        <f ca="1">IFERROR(__xludf.DUMMYFUNCTION("""COMPUTED_VALUE"""),"Prioridad 5")</f>
        <v>Prioridad 5</v>
      </c>
      <c r="J1990" s="45"/>
    </row>
    <row r="1991" spans="2:10" ht="15.75" customHeight="1">
      <c r="B1991" s="25" t="str">
        <f ca="1">IFERROR(__xludf.DUMMYFUNCTION("""COMPUTED_VALUE"""),"UNIVERSIDAD PÚBLICA")</f>
        <v>UNIVERSIDAD PÚBLICA</v>
      </c>
      <c r="C1991" s="25" t="str">
        <f ca="1">IFERROR(__xludf.DUMMYFUNCTION("""COMPUTED_VALUE"""),"UNIVERSIDAD NACIONAL AUTÓNOMA DE CHOTA")</f>
        <v>UNIVERSIDAD NACIONAL AUTÓNOMA DE CHOTA</v>
      </c>
      <c r="D1991" s="25" t="str">
        <f ca="1">IFERROR(__xludf.DUMMYFUNCTION("""COMPUTED_VALUE"""),"CAJAMARCA")</f>
        <v>CAJAMARCA</v>
      </c>
      <c r="E1991" s="25" t="str">
        <f ca="1">IFERROR(__xludf.DUMMYFUNCTION("""COMPUTED_VALUE"""),"CAJAMARCA")</f>
        <v>CAJAMARCA</v>
      </c>
      <c r="F1991" s="25" t="str">
        <f ca="1">IFERROR(__xludf.DUMMYFUNCTION("""COMPUTED_VALUE"""),"CHOTA")</f>
        <v>CHOTA</v>
      </c>
      <c r="G1991" s="25" t="str">
        <f ca="1">IFERROR(__xludf.DUMMYFUNCTION("""COMPUTED_VALUE"""),"TACABAMBA")</f>
        <v>TACABAMBA</v>
      </c>
      <c r="H1991" s="25"/>
      <c r="I1991" s="25" t="str">
        <f ca="1">IFERROR(__xludf.DUMMYFUNCTION("""COMPUTED_VALUE"""),"Prioridad 3")</f>
        <v>Prioridad 3</v>
      </c>
      <c r="J1991" s="45"/>
    </row>
    <row r="1992" spans="2:10">
      <c r="B1992" s="25" t="str">
        <f ca="1">IFERROR(__xludf.DUMMYFUNCTION("""COMPUTED_VALUE"""),"UNIVERSIDAD PÚBLICA")</f>
        <v>UNIVERSIDAD PÚBLICA</v>
      </c>
      <c r="C1992" s="25" t="str">
        <f ca="1">IFERROR(__xludf.DUMMYFUNCTION("""COMPUTED_VALUE"""),"UNIVERSIDAD NACIONAL DE UCAYALI")</f>
        <v>UNIVERSIDAD NACIONAL DE UCAYALI</v>
      </c>
      <c r="D1992" s="25" t="str">
        <f ca="1">IFERROR(__xludf.DUMMYFUNCTION("""COMPUTED_VALUE"""),"LORETO")</f>
        <v>LORETO</v>
      </c>
      <c r="E1992" s="25" t="str">
        <f ca="1">IFERROR(__xludf.DUMMYFUNCTION("""COMPUTED_VALUE"""),"UCAYALI")</f>
        <v>UCAYALI</v>
      </c>
      <c r="F1992" s="25" t="str">
        <f ca="1">IFERROR(__xludf.DUMMYFUNCTION("""COMPUTED_VALUE"""),"CORONEL PORTILLO")</f>
        <v>CORONEL PORTILLO</v>
      </c>
      <c r="G1992" s="25" t="str">
        <f ca="1">IFERROR(__xludf.DUMMYFUNCTION("""COMPUTED_VALUE"""),"CALLERIA")</f>
        <v>CALLERIA</v>
      </c>
      <c r="H1992" s="25"/>
      <c r="I1992" s="25" t="str">
        <f ca="1">IFERROR(__xludf.DUMMYFUNCTION("""COMPUTED_VALUE"""),"Prioridad 2")</f>
        <v>Prioridad 2</v>
      </c>
      <c r="J1992" s="43" t="s">
        <v>262</v>
      </c>
    </row>
    <row r="1993" spans="2:10" ht="15.75" customHeight="1">
      <c r="B1993" s="25" t="str">
        <f ca="1">IFERROR(__xludf.DUMMYFUNCTION("""COMPUTED_VALUE"""),"UNIVERSIDAD PÚBLICA")</f>
        <v>UNIVERSIDAD PÚBLICA</v>
      </c>
      <c r="C1993" s="25" t="str">
        <f ca="1">IFERROR(__xludf.DUMMYFUNCTION("""COMPUTED_VALUE"""),"UNIVERSIDAD NACIONAL AUTÓNOMA ALTOANDINA DE TARMA")</f>
        <v>UNIVERSIDAD NACIONAL AUTÓNOMA ALTOANDINA DE TARMA</v>
      </c>
      <c r="D1993" s="25" t="str">
        <f ca="1">IFERROR(__xludf.DUMMYFUNCTION("""COMPUTED_VALUE"""),"JUNÍN")</f>
        <v>JUNÍN</v>
      </c>
      <c r="E1993" s="25" t="str">
        <f ca="1">IFERROR(__xludf.DUMMYFUNCTION("""COMPUTED_VALUE"""),"JUNÍN")</f>
        <v>JUNÍN</v>
      </c>
      <c r="F1993" s="25"/>
      <c r="G1993" s="25"/>
      <c r="H1993" s="25"/>
      <c r="I1993" s="25" t="str">
        <f ca="1">IFERROR(__xludf.DUMMYFUNCTION("""COMPUTED_VALUE"""),"Prioridad 5")</f>
        <v>Prioridad 5</v>
      </c>
      <c r="J1993" s="45"/>
    </row>
    <row r="1994" spans="2:10" ht="15.75" customHeight="1">
      <c r="B1994" s="25" t="str">
        <f ca="1">IFERROR(__xludf.DUMMYFUNCTION("""COMPUTED_VALUE"""),"UNIVERSIDAD PÚBLICA")</f>
        <v>UNIVERSIDAD PÚBLICA</v>
      </c>
      <c r="C1994" s="25" t="str">
        <f ca="1">IFERROR(__xludf.DUMMYFUNCTION("""COMPUTED_VALUE"""),"UNIVERSIDAD NACIONAL INTERCULTURAL DE LA AMAZONÍA")</f>
        <v>UNIVERSIDAD NACIONAL INTERCULTURAL DE LA AMAZONÍA</v>
      </c>
      <c r="D1994" s="25" t="str">
        <f ca="1">IFERROR(__xludf.DUMMYFUNCTION("""COMPUTED_VALUE"""),"LORETO")</f>
        <v>LORETO</v>
      </c>
      <c r="E1994" s="25" t="str">
        <f ca="1">IFERROR(__xludf.DUMMYFUNCTION("""COMPUTED_VALUE"""),"UCAYALI")</f>
        <v>UCAYALI</v>
      </c>
      <c r="F1994" s="25" t="str">
        <f ca="1">IFERROR(__xludf.DUMMYFUNCTION("""COMPUTED_VALUE"""),"CORONEL PORTILLO")</f>
        <v>CORONEL PORTILLO</v>
      </c>
      <c r="G1994" s="25" t="str">
        <f ca="1">IFERROR(__xludf.DUMMYFUNCTION("""COMPUTED_VALUE"""),"YARINACOCHA")</f>
        <v>YARINACOCHA</v>
      </c>
      <c r="H1994" s="25"/>
      <c r="I1994" s="25" t="str">
        <f ca="1">IFERROR(__xludf.DUMMYFUNCTION("""COMPUTED_VALUE"""),"Prioridad 3")</f>
        <v>Prioridad 3</v>
      </c>
      <c r="J1994" s="45"/>
    </row>
    <row r="1995" spans="2:10" ht="15.75" customHeight="1">
      <c r="B1995" s="25" t="str">
        <f ca="1">IFERROR(__xludf.DUMMYFUNCTION("""COMPUTED_VALUE"""),"UNIVERSIDAD PÚBLICA")</f>
        <v>UNIVERSIDAD PÚBLICA</v>
      </c>
      <c r="C1995" s="25" t="str">
        <f ca="1">IFERROR(__xludf.DUMMYFUNCTION("""COMPUTED_VALUE"""),"UNIVERSIDAD NACIONAL DE TRUJILLO")</f>
        <v>UNIVERSIDAD NACIONAL DE TRUJILLO</v>
      </c>
      <c r="D1995" s="25" t="str">
        <f ca="1">IFERROR(__xludf.DUMMYFUNCTION("""COMPUTED_VALUE"""),"LA LIBERTAD")</f>
        <v>LA LIBERTAD</v>
      </c>
      <c r="E1995" s="25" t="str">
        <f ca="1">IFERROR(__xludf.DUMMYFUNCTION("""COMPUTED_VALUE"""),"LA LIBERTAD")</f>
        <v>LA LIBERTAD</v>
      </c>
      <c r="F1995" s="25" t="str">
        <f ca="1">IFERROR(__xludf.DUMMYFUNCTION("""COMPUTED_VALUE"""),"TRUJILLO")</f>
        <v>TRUJILLO</v>
      </c>
      <c r="G1995" s="25" t="str">
        <f ca="1">IFERROR(__xludf.DUMMYFUNCTION("""COMPUTED_VALUE"""),"TRUJILLO")</f>
        <v>TRUJILLO</v>
      </c>
      <c r="H1995" s="25"/>
      <c r="I1995" s="25" t="str">
        <f ca="1">IFERROR(__xludf.DUMMYFUNCTION("""COMPUTED_VALUE"""),"Prioridad 1")</f>
        <v>Prioridad 1</v>
      </c>
      <c r="J1995" s="45"/>
    </row>
    <row r="1996" spans="2:10" ht="15.75" customHeight="1">
      <c r="B1996" s="25" t="str">
        <f ca="1">IFERROR(__xludf.DUMMYFUNCTION("""COMPUTED_VALUE"""),"UNIVERSIDAD PRIVADA")</f>
        <v>UNIVERSIDAD PRIVADA</v>
      </c>
      <c r="C1996" s="25" t="str">
        <f ca="1">IFERROR(__xludf.DUMMYFUNCTION("""COMPUTED_VALUE"""),"UNIVERSIDAD AUTÓNOMA SAN FRANCISCO S.A.C.")</f>
        <v>UNIVERSIDAD AUTÓNOMA SAN FRANCISCO S.A.C.</v>
      </c>
      <c r="D1996" s="25" t="str">
        <f ca="1">IFERROR(__xludf.DUMMYFUNCTION("""COMPUTED_VALUE"""),"AREQUIPA")</f>
        <v>AREQUIPA</v>
      </c>
      <c r="E1996" s="25" t="str">
        <f ca="1">IFERROR(__xludf.DUMMYFUNCTION("""COMPUTED_VALUE"""),"AREQUIPA")</f>
        <v>AREQUIPA</v>
      </c>
      <c r="F1996" s="25" t="str">
        <f ca="1">IFERROR(__xludf.DUMMYFUNCTION("""COMPUTED_VALUE"""),"AREQUIPA")</f>
        <v>AREQUIPA</v>
      </c>
      <c r="G1996" s="25" t="str">
        <f ca="1">IFERROR(__xludf.DUMMYFUNCTION("""COMPUTED_VALUE"""),"TIABAYA")</f>
        <v>TIABAYA</v>
      </c>
      <c r="H1996" s="25"/>
      <c r="I1996" s="25" t="str">
        <f ca="1">IFERROR(__xludf.DUMMYFUNCTION("""COMPUTED_VALUE"""),"Prioridad 4")</f>
        <v>Prioridad 4</v>
      </c>
      <c r="J1996" s="45"/>
    </row>
    <row r="1997" spans="2:10" ht="15.75" customHeight="1">
      <c r="B1997" s="25" t="str">
        <f ca="1">IFERROR(__xludf.DUMMYFUNCTION("""COMPUTED_VALUE"""),"UNIVERSIDAD PÚBLICA")</f>
        <v>UNIVERSIDAD PÚBLICA</v>
      </c>
      <c r="C1997" s="25" t="str">
        <f ca="1">IFERROR(__xludf.DUMMYFUNCTION("""COMPUTED_VALUE"""),"UNIVERSIDAD NACIONAL DE JULIACA")</f>
        <v>UNIVERSIDAD NACIONAL DE JULIACA</v>
      </c>
      <c r="D1997" s="25" t="str">
        <f ca="1">IFERROR(__xludf.DUMMYFUNCTION("""COMPUTED_VALUE"""),"PUNO")</f>
        <v>PUNO</v>
      </c>
      <c r="E1997" s="25" t="str">
        <f ca="1">IFERROR(__xludf.DUMMYFUNCTION("""COMPUTED_VALUE"""),"PUNO")</f>
        <v>PUNO</v>
      </c>
      <c r="F1997" s="25" t="str">
        <f ca="1">IFERROR(__xludf.DUMMYFUNCTION("""COMPUTED_VALUE"""),"SAN ROMAN")</f>
        <v>SAN ROMAN</v>
      </c>
      <c r="G1997" s="25" t="str">
        <f ca="1">IFERROR(__xludf.DUMMYFUNCTION("""COMPUTED_VALUE"""),"JULIACA")</f>
        <v>JULIACA</v>
      </c>
      <c r="H1997" s="25"/>
      <c r="I1997" s="25" t="str">
        <f ca="1">IFERROR(__xludf.DUMMYFUNCTION("""COMPUTED_VALUE"""),"Prioridad 5")</f>
        <v>Prioridad 5</v>
      </c>
      <c r="J1997" s="45"/>
    </row>
    <row r="1998" spans="2:10" ht="15.75" customHeight="1">
      <c r="B1998" s="25" t="str">
        <f ca="1">IFERROR(__xludf.DUMMYFUNCTION("""COMPUTED_VALUE"""),"UNIVERSIDAD PÚBLICA")</f>
        <v>UNIVERSIDAD PÚBLICA</v>
      </c>
      <c r="C1998" s="25" t="str">
        <f ca="1">IFERROR(__xludf.DUMMYFUNCTION("""COMPUTED_VALUE"""),"UNIVERSIDAD NACIONAL INTERCULTURAL FABIOLA SALAZAR LEGUÍA DE BAGUA")</f>
        <v>UNIVERSIDAD NACIONAL INTERCULTURAL FABIOLA SALAZAR LEGUÍA DE BAGUA</v>
      </c>
      <c r="D1998" s="25" t="str">
        <f ca="1">IFERROR(__xludf.DUMMYFUNCTION("""COMPUTED_VALUE"""),"LAMBAYEQUE")</f>
        <v>LAMBAYEQUE</v>
      </c>
      <c r="E1998" s="25" t="str">
        <f ca="1">IFERROR(__xludf.DUMMYFUNCTION("""COMPUTED_VALUE"""),"AMAZONAS")</f>
        <v>AMAZONAS</v>
      </c>
      <c r="F1998" s="25" t="str">
        <f ca="1">IFERROR(__xludf.DUMMYFUNCTION("""COMPUTED_VALUE"""),"BAGUA")</f>
        <v>BAGUA</v>
      </c>
      <c r="G1998" s="25" t="str">
        <f ca="1">IFERROR(__xludf.DUMMYFUNCTION("""COMPUTED_VALUE"""),"BAGUA")</f>
        <v>BAGUA</v>
      </c>
      <c r="H1998" s="25"/>
      <c r="I1998" s="25" t="str">
        <f ca="1">IFERROR(__xludf.DUMMYFUNCTION("""COMPUTED_VALUE"""),"Prioridad 5")</f>
        <v>Prioridad 5</v>
      </c>
      <c r="J1998" s="45"/>
    </row>
    <row r="1999" spans="2:10" ht="15.75" customHeight="1">
      <c r="B1999" s="25" t="str">
        <f ca="1">IFERROR(__xludf.DUMMYFUNCTION("""COMPUTED_VALUE"""),"UNIVERSIDAD PRIVADA")</f>
        <v>UNIVERSIDAD PRIVADA</v>
      </c>
      <c r="C1999" s="25" t="str">
        <f ca="1">IFERROR(__xludf.DUMMYFUNCTION("""COMPUTED_VALUE"""),"UNIVERSIDAD POLITÉCNICA AMAZÓNICA S.A.C.")</f>
        <v>UNIVERSIDAD POLITÉCNICA AMAZÓNICA S.A.C.</v>
      </c>
      <c r="D1999" s="25" t="str">
        <f ca="1">IFERROR(__xludf.DUMMYFUNCTION("""COMPUTED_VALUE"""),"LAMBAYEQUE")</f>
        <v>LAMBAYEQUE</v>
      </c>
      <c r="E1999" s="25" t="str">
        <f ca="1">IFERROR(__xludf.DUMMYFUNCTION("""COMPUTED_VALUE"""),"AMAZONAS")</f>
        <v>AMAZONAS</v>
      </c>
      <c r="F1999" s="25" t="str">
        <f ca="1">IFERROR(__xludf.DUMMYFUNCTION("""COMPUTED_VALUE"""),"BAGUA")</f>
        <v>BAGUA</v>
      </c>
      <c r="G1999" s="25" t="str">
        <f ca="1">IFERROR(__xludf.DUMMYFUNCTION("""COMPUTED_VALUE"""),"BAGUA")</f>
        <v>BAGUA</v>
      </c>
      <c r="H1999" s="25"/>
      <c r="I1999" s="25" t="str">
        <f ca="1">IFERROR(__xludf.DUMMYFUNCTION("""COMPUTED_VALUE"""),"Prioridad 4")</f>
        <v>Prioridad 4</v>
      </c>
      <c r="J1999" s="45"/>
    </row>
    <row r="2000" spans="2:10" ht="15.75" customHeight="1">
      <c r="B2000" s="25" t="str">
        <f ca="1">IFERROR(__xludf.DUMMYFUNCTION("""COMPUTED_VALUE"""),"UNIVERSIDAD PRIVADA")</f>
        <v>UNIVERSIDAD PRIVADA</v>
      </c>
      <c r="C2000" s="25" t="str">
        <f ca="1">IFERROR(__xludf.DUMMYFUNCTION("""COMPUTED_VALUE"""),"UNIVERSIDAD CONTINENTAL S.A.C.")</f>
        <v>UNIVERSIDAD CONTINENTAL S.A.C.</v>
      </c>
      <c r="D2000" s="25" t="str">
        <f ca="1">IFERROR(__xludf.DUMMYFUNCTION("""COMPUTED_VALUE"""),"JUNÍN")</f>
        <v>JUNÍN</v>
      </c>
      <c r="E2000" s="25" t="str">
        <f ca="1">IFERROR(__xludf.DUMMYFUNCTION("""COMPUTED_VALUE"""),"JUNÍN")</f>
        <v>JUNÍN</v>
      </c>
      <c r="F2000" s="25" t="str">
        <f ca="1">IFERROR(__xludf.DUMMYFUNCTION("""COMPUTED_VALUE"""),"HUANCAYO")</f>
        <v>HUANCAYO</v>
      </c>
      <c r="G2000" s="25" t="str">
        <f ca="1">IFERROR(__xludf.DUMMYFUNCTION("""COMPUTED_VALUE"""),"HUANCAYO")</f>
        <v>HUANCAYO</v>
      </c>
      <c r="H2000" s="25"/>
      <c r="I2000" s="25" t="str">
        <f ca="1">IFERROR(__xludf.DUMMYFUNCTION("""COMPUTED_VALUE"""),"Prioridad 1")</f>
        <v>Prioridad 1</v>
      </c>
      <c r="J2000" s="45"/>
    </row>
    <row r="2001" spans="2:10">
      <c r="B2001" s="25" t="str">
        <f ca="1">IFERROR(__xludf.DUMMYFUNCTION("""COMPUTED_VALUE"""),"UNIVERSIDAD PÚBLICA")</f>
        <v>UNIVERSIDAD PÚBLICA</v>
      </c>
      <c r="C2001" s="25" t="str">
        <f ca="1">IFERROR(__xludf.DUMMYFUNCTION("""COMPUTED_VALUE"""),"UNIVERSIDAD NACIONAL DE CAJAMARCA")</f>
        <v>UNIVERSIDAD NACIONAL DE CAJAMARCA</v>
      </c>
      <c r="D2001" s="25" t="str">
        <f ca="1">IFERROR(__xludf.DUMMYFUNCTION("""COMPUTED_VALUE"""),"CAJAMARCA")</f>
        <v>CAJAMARCA</v>
      </c>
      <c r="E2001" s="25" t="str">
        <f ca="1">IFERROR(__xludf.DUMMYFUNCTION("""COMPUTED_VALUE"""),"CAJAMARCA")</f>
        <v>CAJAMARCA</v>
      </c>
      <c r="F2001" s="25" t="str">
        <f ca="1">IFERROR(__xludf.DUMMYFUNCTION("""COMPUTED_VALUE"""),"CAJAMARCA")</f>
        <v>CAJAMARCA</v>
      </c>
      <c r="G2001" s="25" t="str">
        <f ca="1">IFERROR(__xludf.DUMMYFUNCTION("""COMPUTED_VALUE"""),"CAJAMARCA")</f>
        <v>CAJAMARCA</v>
      </c>
      <c r="H2001" s="25"/>
      <c r="I2001" s="25" t="str">
        <f ca="1">IFERROR(__xludf.DUMMYFUNCTION("""COMPUTED_VALUE"""),"Prioridad 1")</f>
        <v>Prioridad 1</v>
      </c>
      <c r="J2001" s="43" t="s">
        <v>262</v>
      </c>
    </row>
    <row r="2002" spans="2:10" ht="15.75" customHeight="1">
      <c r="B2002" s="25" t="str">
        <f ca="1">IFERROR(__xludf.DUMMYFUNCTION("""COMPUTED_VALUE"""),"UNIVERSIDAD PÚBLICA")</f>
        <v>UNIVERSIDAD PÚBLICA</v>
      </c>
      <c r="C2002" s="25" t="str">
        <f ca="1">IFERROR(__xludf.DUMMYFUNCTION("""COMPUTED_VALUE"""),"UNIVERSIDAD NACIONAL AUTÓNOMA DE ALTO AMAZONAS")</f>
        <v>UNIVERSIDAD NACIONAL AUTÓNOMA DE ALTO AMAZONAS</v>
      </c>
      <c r="D2002" s="25" t="str">
        <f ca="1">IFERROR(__xludf.DUMMYFUNCTION("""COMPUTED_VALUE"""),"SAN MARTÍN")</f>
        <v>SAN MARTÍN</v>
      </c>
      <c r="E2002" s="25" t="str">
        <f ca="1">IFERROR(__xludf.DUMMYFUNCTION("""COMPUTED_VALUE"""),"LORETO")</f>
        <v>LORETO</v>
      </c>
      <c r="F2002" s="25" t="str">
        <f ca="1">IFERROR(__xludf.DUMMYFUNCTION("""COMPUTED_VALUE"""),"ALTO AMAZONAS")</f>
        <v>ALTO AMAZONAS</v>
      </c>
      <c r="G2002" s="25" t="str">
        <f ca="1">IFERROR(__xludf.DUMMYFUNCTION("""COMPUTED_VALUE"""),"YURIMAGUAS")</f>
        <v>YURIMAGUAS</v>
      </c>
      <c r="H2002" s="25"/>
      <c r="I2002" s="25" t="str">
        <f ca="1">IFERROR(__xludf.DUMMYFUNCTION("""COMPUTED_VALUE"""),"Prioridad 4")</f>
        <v>Prioridad 4</v>
      </c>
      <c r="J2002" s="45"/>
    </row>
    <row r="2003" spans="2:10">
      <c r="B2003" s="25" t="str">
        <f ca="1">IFERROR(__xludf.DUMMYFUNCTION("""COMPUTED_VALUE"""),"UNIVERSIDAD PÚBLICA")</f>
        <v>UNIVERSIDAD PÚBLICA</v>
      </c>
      <c r="C2003" s="25" t="str">
        <f ca="1">IFERROR(__xludf.DUMMYFUNCTION("""COMPUTED_VALUE"""),"UNIVERSIDAD NACIONAL JORGE BASADRE GROHMANN")</f>
        <v>UNIVERSIDAD NACIONAL JORGE BASADRE GROHMANN</v>
      </c>
      <c r="D2003" s="25" t="str">
        <f ca="1">IFERROR(__xludf.DUMMYFUNCTION("""COMPUTED_VALUE"""),"TACNA")</f>
        <v>TACNA</v>
      </c>
      <c r="E2003" s="25" t="str">
        <f ca="1">IFERROR(__xludf.DUMMYFUNCTION("""COMPUTED_VALUE"""),"TACNA")</f>
        <v>TACNA</v>
      </c>
      <c r="F2003" s="25" t="str">
        <f ca="1">IFERROR(__xludf.DUMMYFUNCTION("""COMPUTED_VALUE"""),"TACNA")</f>
        <v>TACNA</v>
      </c>
      <c r="G2003" s="25" t="str">
        <f ca="1">IFERROR(__xludf.DUMMYFUNCTION("""COMPUTED_VALUE"""),"TACNA")</f>
        <v>TACNA</v>
      </c>
      <c r="H2003" s="25"/>
      <c r="I2003" s="25" t="str">
        <f ca="1">IFERROR(__xludf.DUMMYFUNCTION("""COMPUTED_VALUE"""),"Prioridad 4")</f>
        <v>Prioridad 4</v>
      </c>
      <c r="J2003" s="42" t="s">
        <v>260</v>
      </c>
    </row>
    <row r="2004" spans="2:10" ht="15.75" customHeight="1">
      <c r="B2004" s="25" t="str">
        <f ca="1">IFERROR(__xludf.DUMMYFUNCTION("""COMPUTED_VALUE"""),"UNIVERSIDAD PÚBLICA")</f>
        <v>UNIVERSIDAD PÚBLICA</v>
      </c>
      <c r="C2004" s="25" t="str">
        <f ca="1">IFERROR(__xludf.DUMMYFUNCTION("""COMPUTED_VALUE"""),"UNIVERSIDAD NACIONAL DE SAN CRISTÓBAL DE HUAMANGA")</f>
        <v>UNIVERSIDAD NACIONAL DE SAN CRISTÓBAL DE HUAMANGA</v>
      </c>
      <c r="D2004" s="25" t="str">
        <f ca="1">IFERROR(__xludf.DUMMYFUNCTION("""COMPUTED_VALUE"""),"ICA")</f>
        <v>ICA</v>
      </c>
      <c r="E2004" s="25" t="str">
        <f ca="1">IFERROR(__xludf.DUMMYFUNCTION("""COMPUTED_VALUE"""),"AYACUCHO")</f>
        <v>AYACUCHO</v>
      </c>
      <c r="F2004" s="25" t="str">
        <f ca="1">IFERROR(__xludf.DUMMYFUNCTION("""COMPUTED_VALUE"""),"HUAMANGA")</f>
        <v>HUAMANGA</v>
      </c>
      <c r="G2004" s="25" t="str">
        <f ca="1">IFERROR(__xludf.DUMMYFUNCTION("""COMPUTED_VALUE"""),"AYACUCHO")</f>
        <v>AYACUCHO</v>
      </c>
      <c r="H2004" s="25"/>
      <c r="I2004" s="25" t="str">
        <f ca="1">IFERROR(__xludf.DUMMYFUNCTION("""COMPUTED_VALUE"""),"Prioridad 3")</f>
        <v>Prioridad 3</v>
      </c>
      <c r="J2004" s="45"/>
    </row>
    <row r="2005" spans="2:10" ht="15.75" customHeight="1">
      <c r="B2005" s="25" t="str">
        <f ca="1">IFERROR(__xludf.DUMMYFUNCTION("""COMPUTED_VALUE"""),"UNIVERSIDAD PRIVADA")</f>
        <v>UNIVERSIDAD PRIVADA</v>
      </c>
      <c r="C2005" s="25" t="str">
        <f ca="1">IFERROR(__xludf.DUMMYFUNCTION("""COMPUTED_VALUE"""),"UNIVERSIDAD PRIVADA ANTENOR ORREGO")</f>
        <v>UNIVERSIDAD PRIVADA ANTENOR ORREGO</v>
      </c>
      <c r="D2005" s="25" t="str">
        <f ca="1">IFERROR(__xludf.DUMMYFUNCTION("""COMPUTED_VALUE"""),"LA LIBERTAD")</f>
        <v>LA LIBERTAD</v>
      </c>
      <c r="E2005" s="25" t="str">
        <f ca="1">IFERROR(__xludf.DUMMYFUNCTION("""COMPUTED_VALUE"""),"LA LIBERTAD")</f>
        <v>LA LIBERTAD</v>
      </c>
      <c r="F2005" s="25" t="str">
        <f ca="1">IFERROR(__xludf.DUMMYFUNCTION("""COMPUTED_VALUE"""),"TRUJILLO")</f>
        <v>TRUJILLO</v>
      </c>
      <c r="G2005" s="25" t="str">
        <f ca="1">IFERROR(__xludf.DUMMYFUNCTION("""COMPUTED_VALUE"""),"TRUJILLO")</f>
        <v>TRUJILLO</v>
      </c>
      <c r="H2005" s="25"/>
      <c r="I2005" s="25" t="str">
        <f ca="1">IFERROR(__xludf.DUMMYFUNCTION("""COMPUTED_VALUE"""),"Prioridad 3")</f>
        <v>Prioridad 3</v>
      </c>
      <c r="J2005" s="45"/>
    </row>
    <row r="2006" spans="2:10">
      <c r="B2006" s="25" t="str">
        <f ca="1">IFERROR(__xludf.DUMMYFUNCTION("""COMPUTED_VALUE"""),"UNIVERSIDAD PÚBLICA")</f>
        <v>UNIVERSIDAD PÚBLICA</v>
      </c>
      <c r="C2006" s="25" t="str">
        <f ca="1">IFERROR(__xludf.DUMMYFUNCTION("""COMPUTED_VALUE"""),"UNIVERSIDAD NACIONAL INTERCULTURAL DE LA SELVA CENTRAL JUAN SANTOS ATAHUALPA")</f>
        <v>UNIVERSIDAD NACIONAL INTERCULTURAL DE LA SELVA CENTRAL JUAN SANTOS ATAHUALPA</v>
      </c>
      <c r="D2006" s="25" t="str">
        <f ca="1">IFERROR(__xludf.DUMMYFUNCTION("""COMPUTED_VALUE"""),"JUNÍN")</f>
        <v>JUNÍN</v>
      </c>
      <c r="E2006" s="25" t="str">
        <f ca="1">IFERROR(__xludf.DUMMYFUNCTION("""COMPUTED_VALUE"""),"JUNÍN")</f>
        <v>JUNÍN</v>
      </c>
      <c r="F2006" s="25"/>
      <c r="G2006" s="25"/>
      <c r="H2006" s="25"/>
      <c r="I2006" s="25" t="str">
        <f ca="1">IFERROR(__xludf.DUMMYFUNCTION("""COMPUTED_VALUE"""),"Prioridad 5")</f>
        <v>Prioridad 5</v>
      </c>
      <c r="J2006" s="43" t="s">
        <v>262</v>
      </c>
    </row>
    <row r="2007" spans="2:10">
      <c r="B2007" s="25" t="str">
        <f ca="1">IFERROR(__xludf.DUMMYFUNCTION("""COMPUTED_VALUE"""),"UNIVERSIDAD PRIVADA")</f>
        <v>UNIVERSIDAD PRIVADA</v>
      </c>
      <c r="C2007" s="25" t="str">
        <f ca="1">IFERROR(__xludf.DUMMYFUNCTION("""COMPUTED_VALUE"""),"UNIVERSIDAD PERUANA DEL CENTRO")</f>
        <v>UNIVERSIDAD PERUANA DEL CENTRO</v>
      </c>
      <c r="D2007" s="25" t="str">
        <f ca="1">IFERROR(__xludf.DUMMYFUNCTION("""COMPUTED_VALUE"""),"JUNÍN")</f>
        <v>JUNÍN</v>
      </c>
      <c r="E2007" s="25" t="str">
        <f ca="1">IFERROR(__xludf.DUMMYFUNCTION("""COMPUTED_VALUE"""),"JUNÍN")</f>
        <v>JUNÍN</v>
      </c>
      <c r="F2007" s="25" t="str">
        <f ca="1">IFERROR(__xludf.DUMMYFUNCTION("""COMPUTED_VALUE"""),"HUANCAYO")</f>
        <v>HUANCAYO</v>
      </c>
      <c r="G2007" s="25" t="str">
        <f ca="1">IFERROR(__xludf.DUMMYFUNCTION("""COMPUTED_VALUE"""),"HUANCAYO")</f>
        <v>HUANCAYO</v>
      </c>
      <c r="H2007" s="25"/>
      <c r="I2007" s="25" t="str">
        <f ca="1">IFERROR(__xludf.DUMMYFUNCTION("""COMPUTED_VALUE"""),"Prioridad 3")</f>
        <v>Prioridad 3</v>
      </c>
      <c r="J2007" s="43" t="s">
        <v>262</v>
      </c>
    </row>
    <row r="2008" spans="2:10">
      <c r="B2008" s="25" t="str">
        <f ca="1">IFERROR(__xludf.DUMMYFUNCTION("""COMPUTED_VALUE"""),"UNIVERSIDAD PRIVADA")</f>
        <v>UNIVERSIDAD PRIVADA</v>
      </c>
      <c r="C2008" s="25" t="str">
        <f ca="1">IFERROR(__xludf.DUMMYFUNCTION("""COMPUTED_VALUE"""),"UNIVERSIDAD PERUANA SANTO TOMÁS DE AQUINO DE CIENCIA E INTEGRACIÓN S.A.C.")</f>
        <v>UNIVERSIDAD PERUANA SANTO TOMÁS DE AQUINO DE CIENCIA E INTEGRACIÓN S.A.C.</v>
      </c>
      <c r="D2008" s="25" t="str">
        <f ca="1">IFERROR(__xludf.DUMMYFUNCTION("""COMPUTED_VALUE"""),"JUNÍN")</f>
        <v>JUNÍN</v>
      </c>
      <c r="E2008" s="25" t="str">
        <f ca="1">IFERROR(__xludf.DUMMYFUNCTION("""COMPUTED_VALUE"""),"JUNÍN")</f>
        <v>JUNÍN</v>
      </c>
      <c r="F2008" s="25" t="str">
        <f ca="1">IFERROR(__xludf.DUMMYFUNCTION("""COMPUTED_VALUE"""),"HUANCAYO")</f>
        <v>HUANCAYO</v>
      </c>
      <c r="G2008" s="25" t="str">
        <f ca="1">IFERROR(__xludf.DUMMYFUNCTION("""COMPUTED_VALUE"""),"HUANCAYO")</f>
        <v>HUANCAYO</v>
      </c>
      <c r="H2008" s="25"/>
      <c r="I2008" s="25" t="str">
        <f ca="1">IFERROR(__xludf.DUMMYFUNCTION("""COMPUTED_VALUE"""),"Prioridad 5")</f>
        <v>Prioridad 5</v>
      </c>
      <c r="J2008" s="42" t="s">
        <v>260</v>
      </c>
    </row>
    <row r="2009" spans="2:10">
      <c r="B2009" s="25" t="str">
        <f ca="1">IFERROR(__xludf.DUMMYFUNCTION("""COMPUTED_VALUE"""),"UNIVERSIDAD PRIVADA")</f>
        <v>UNIVERSIDAD PRIVADA</v>
      </c>
      <c r="C2009" s="25" t="str">
        <f ca="1">IFERROR(__xludf.DUMMYFUNCTION("""COMPUTED_VALUE"""),"UNIVERSIDAD CATÓLICA SANTO TORIBIO DE MOGROVEJO")</f>
        <v>UNIVERSIDAD CATÓLICA SANTO TORIBIO DE MOGROVEJO</v>
      </c>
      <c r="D2009" s="25" t="str">
        <f ca="1">IFERROR(__xludf.DUMMYFUNCTION("""COMPUTED_VALUE"""),"LAMBAYEQUE")</f>
        <v>LAMBAYEQUE</v>
      </c>
      <c r="E2009" s="25" t="str">
        <f ca="1">IFERROR(__xludf.DUMMYFUNCTION("""COMPUTED_VALUE"""),"LAMBAYEQUE")</f>
        <v>LAMBAYEQUE</v>
      </c>
      <c r="F2009" s="25" t="str">
        <f ca="1">IFERROR(__xludf.DUMMYFUNCTION("""COMPUTED_VALUE"""),"CHICLAYO")</f>
        <v>CHICLAYO</v>
      </c>
      <c r="G2009" s="25" t="str">
        <f ca="1">IFERROR(__xludf.DUMMYFUNCTION("""COMPUTED_VALUE"""),"CHICLAYO")</f>
        <v>CHICLAYO</v>
      </c>
      <c r="H2009" s="25"/>
      <c r="I2009" s="25" t="str">
        <f ca="1">IFERROR(__xludf.DUMMYFUNCTION("""COMPUTED_VALUE"""),"Prioridad 3")</f>
        <v>Prioridad 3</v>
      </c>
      <c r="J2009" s="43" t="s">
        <v>263</v>
      </c>
    </row>
    <row r="2010" spans="2:10">
      <c r="B2010" s="25" t="str">
        <f ca="1">IFERROR(__xludf.DUMMYFUNCTION("""COMPUTED_VALUE"""),"UNIVERSIDAD PRIVADA")</f>
        <v>UNIVERSIDAD PRIVADA</v>
      </c>
      <c r="C2010" s="25" t="str">
        <f ca="1">IFERROR(__xludf.DUMMYFUNCTION("""COMPUTED_VALUE"""),"UNIVERSIDAD DE LAMBAYEQUE S.A.C.")</f>
        <v>UNIVERSIDAD DE LAMBAYEQUE S.A.C.</v>
      </c>
      <c r="D2010" s="25" t="str">
        <f ca="1">IFERROR(__xludf.DUMMYFUNCTION("""COMPUTED_VALUE"""),"LAMBAYEQUE")</f>
        <v>LAMBAYEQUE</v>
      </c>
      <c r="E2010" s="25" t="str">
        <f ca="1">IFERROR(__xludf.DUMMYFUNCTION("""COMPUTED_VALUE"""),"LAMBAYEQUE")</f>
        <v>LAMBAYEQUE</v>
      </c>
      <c r="F2010" s="25" t="str">
        <f ca="1">IFERROR(__xludf.DUMMYFUNCTION("""COMPUTED_VALUE"""),"CHICLAYO")</f>
        <v>CHICLAYO</v>
      </c>
      <c r="G2010" s="25" t="str">
        <f ca="1">IFERROR(__xludf.DUMMYFUNCTION("""COMPUTED_VALUE"""),"CHICLAYO")</f>
        <v>CHICLAYO</v>
      </c>
      <c r="H2010" s="25"/>
      <c r="I2010" s="25" t="str">
        <f ca="1">IFERROR(__xludf.DUMMYFUNCTION("""COMPUTED_VALUE"""),"Prioridad 5")</f>
        <v>Prioridad 5</v>
      </c>
      <c r="J2010" s="42" t="s">
        <v>260</v>
      </c>
    </row>
    <row r="2011" spans="2:10">
      <c r="B2011" s="25" t="str">
        <f ca="1">IFERROR(__xludf.DUMMYFUNCTION("""COMPUTED_VALUE"""),"UNIVERSIDAD PÚBLICA")</f>
        <v>UNIVERSIDAD PÚBLICA</v>
      </c>
      <c r="C2011" s="25" t="str">
        <f ca="1">IFERROR(__xludf.DUMMYFUNCTION("""COMPUTED_VALUE"""),"UNIVERSIDAD NACIONAL PEDRO RUÍZ GALLO")</f>
        <v>UNIVERSIDAD NACIONAL PEDRO RUÍZ GALLO</v>
      </c>
      <c r="D2011" s="25" t="str">
        <f ca="1">IFERROR(__xludf.DUMMYFUNCTION("""COMPUTED_VALUE"""),"LAMBAYEQUE")</f>
        <v>LAMBAYEQUE</v>
      </c>
      <c r="E2011" s="25" t="str">
        <f ca="1">IFERROR(__xludf.DUMMYFUNCTION("""COMPUTED_VALUE"""),"LAMBAYEQUE")</f>
        <v>LAMBAYEQUE</v>
      </c>
      <c r="F2011" s="25" t="str">
        <f ca="1">IFERROR(__xludf.DUMMYFUNCTION("""COMPUTED_VALUE"""),"LAMBAYEQUE")</f>
        <v>LAMBAYEQUE</v>
      </c>
      <c r="G2011" s="25" t="str">
        <f ca="1">IFERROR(__xludf.DUMMYFUNCTION("""COMPUTED_VALUE"""),"LAMBAYEQUE")</f>
        <v>LAMBAYEQUE</v>
      </c>
      <c r="H2011" s="25"/>
      <c r="I2011" s="25" t="str">
        <f ca="1">IFERROR(__xludf.DUMMYFUNCTION("""COMPUTED_VALUE"""),"Prioridad 1")</f>
        <v>Prioridad 1</v>
      </c>
      <c r="J2011" s="43" t="s">
        <v>261</v>
      </c>
    </row>
    <row r="2012" spans="2:10">
      <c r="B2012" s="25" t="str">
        <f ca="1">IFERROR(__xludf.DUMMYFUNCTION("""COMPUTED_VALUE"""),"UNIVERSIDAD PRIVADA")</f>
        <v>UNIVERSIDAD PRIVADA</v>
      </c>
      <c r="C2012" s="25" t="str">
        <f ca="1">IFERROR(__xludf.DUMMYFUNCTION("""COMPUTED_VALUE"""),"UNIVERSIDAD PARTICULAR DE CHICLAYO")</f>
        <v>UNIVERSIDAD PARTICULAR DE CHICLAYO</v>
      </c>
      <c r="D2012" s="25" t="str">
        <f ca="1">IFERROR(__xludf.DUMMYFUNCTION("""COMPUTED_VALUE"""),"LAMBAYEQUE")</f>
        <v>LAMBAYEQUE</v>
      </c>
      <c r="E2012" s="25" t="str">
        <f ca="1">IFERROR(__xludf.DUMMYFUNCTION("""COMPUTED_VALUE"""),"LAMBAYEQUE")</f>
        <v>LAMBAYEQUE</v>
      </c>
      <c r="F2012" s="25" t="str">
        <f ca="1">IFERROR(__xludf.DUMMYFUNCTION("""COMPUTED_VALUE"""),"CHICLAYO")</f>
        <v>CHICLAYO</v>
      </c>
      <c r="G2012" s="25" t="str">
        <f ca="1">IFERROR(__xludf.DUMMYFUNCTION("""COMPUTED_VALUE"""),"PIMENTEL")</f>
        <v>PIMENTEL</v>
      </c>
      <c r="H2012" s="25"/>
      <c r="I2012" s="25" t="str">
        <f ca="1">IFERROR(__xludf.DUMMYFUNCTION("""COMPUTED_VALUE"""),"Prioridad 4")</f>
        <v>Prioridad 4</v>
      </c>
      <c r="J2012" s="43" t="s">
        <v>262</v>
      </c>
    </row>
    <row r="2013" spans="2:10">
      <c r="B2013" s="25" t="str">
        <f ca="1">IFERROR(__xludf.DUMMYFUNCTION("""COMPUTED_VALUE"""),"UNIVERSIDAD PRIVADA")</f>
        <v>UNIVERSIDAD PRIVADA</v>
      </c>
      <c r="C2013" s="25" t="str">
        <f ca="1">IFERROR(__xludf.DUMMYFUNCTION("""COMPUTED_VALUE"""),"UNIVERSIDAD PRIVADA JUAN MEJÍA BACA SOCIEDAD ANÓNIMA CERRADA")</f>
        <v>UNIVERSIDAD PRIVADA JUAN MEJÍA BACA SOCIEDAD ANÓNIMA CERRADA</v>
      </c>
      <c r="D2013" s="25" t="str">
        <f ca="1">IFERROR(__xludf.DUMMYFUNCTION("""COMPUTED_VALUE"""),"LAMBAYEQUE")</f>
        <v>LAMBAYEQUE</v>
      </c>
      <c r="E2013" s="25" t="str">
        <f ca="1">IFERROR(__xludf.DUMMYFUNCTION("""COMPUTED_VALUE"""),"LAMBAYEQUE")</f>
        <v>LAMBAYEQUE</v>
      </c>
      <c r="F2013" s="25" t="str">
        <f ca="1">IFERROR(__xludf.DUMMYFUNCTION("""COMPUTED_VALUE"""),"CHICLAYO")</f>
        <v>CHICLAYO</v>
      </c>
      <c r="G2013" s="25" t="str">
        <f ca="1">IFERROR(__xludf.DUMMYFUNCTION("""COMPUTED_VALUE"""),"CHICLAYO")</f>
        <v>CHICLAYO</v>
      </c>
      <c r="H2013" s="25"/>
      <c r="I2013" s="25" t="str">
        <f ca="1">IFERROR(__xludf.DUMMYFUNCTION("""COMPUTED_VALUE"""),"Prioridad 4")</f>
        <v>Prioridad 4</v>
      </c>
      <c r="J2013" s="43" t="s">
        <v>263</v>
      </c>
    </row>
    <row r="2014" spans="2:10">
      <c r="B2014" s="25" t="str">
        <f ca="1">IFERROR(__xludf.DUMMYFUNCTION("""COMPUTED_VALUE"""),"UNIVERSIDAD PRIVADA")</f>
        <v>UNIVERSIDAD PRIVADA</v>
      </c>
      <c r="C2014" s="25" t="str">
        <f ca="1">IFERROR(__xludf.DUMMYFUNCTION("""COMPUTED_VALUE"""),"UNIVERSIDAD CATÓLICA DE SANTA MARÍA")</f>
        <v>UNIVERSIDAD CATÓLICA DE SANTA MARÍA</v>
      </c>
      <c r="D2014" s="25" t="str">
        <f ca="1">IFERROR(__xludf.DUMMYFUNCTION("""COMPUTED_VALUE"""),"AREQUIPA")</f>
        <v>AREQUIPA</v>
      </c>
      <c r="E2014" s="25" t="str">
        <f ca="1">IFERROR(__xludf.DUMMYFUNCTION("""COMPUTED_VALUE"""),"AREQUIPA")</f>
        <v>AREQUIPA</v>
      </c>
      <c r="F2014" s="25" t="str">
        <f ca="1">IFERROR(__xludf.DUMMYFUNCTION("""COMPUTED_VALUE"""),"AREQUIPA")</f>
        <v>AREQUIPA</v>
      </c>
      <c r="G2014" s="25" t="str">
        <f ca="1">IFERROR(__xludf.DUMMYFUNCTION("""COMPUTED_VALUE"""),"YANAHUARA")</f>
        <v>YANAHUARA</v>
      </c>
      <c r="H2014" s="25"/>
      <c r="I2014" s="25" t="str">
        <f ca="1">IFERROR(__xludf.DUMMYFUNCTION("""COMPUTED_VALUE"""),"Prioridad 1")</f>
        <v>Prioridad 1</v>
      </c>
      <c r="J2014" s="43" t="s">
        <v>262</v>
      </c>
    </row>
    <row r="2015" spans="2:10">
      <c r="B2015" s="25" t="str">
        <f ca="1">IFERROR(__xludf.DUMMYFUNCTION("""COMPUTED_VALUE"""),"UNIVERSIDAD PÚBLICA")</f>
        <v>UNIVERSIDAD PÚBLICA</v>
      </c>
      <c r="C2015" s="25" t="str">
        <f ca="1">IFERROR(__xludf.DUMMYFUNCTION("""COMPUTED_VALUE"""),"UNIVERSIDAD NACIONAL DE JAÉN")</f>
        <v>UNIVERSIDAD NACIONAL DE JAÉN</v>
      </c>
      <c r="D2015" s="25" t="str">
        <f ca="1">IFERROR(__xludf.DUMMYFUNCTION("""COMPUTED_VALUE"""),"LAMBAYEQUE")</f>
        <v>LAMBAYEQUE</v>
      </c>
      <c r="E2015" s="25" t="str">
        <f ca="1">IFERROR(__xludf.DUMMYFUNCTION("""COMPUTED_VALUE"""),"CAJAMARCA")</f>
        <v>CAJAMARCA</v>
      </c>
      <c r="F2015" s="25" t="str">
        <f ca="1">IFERROR(__xludf.DUMMYFUNCTION("""COMPUTED_VALUE"""),"JAEN")</f>
        <v>JAEN</v>
      </c>
      <c r="G2015" s="25" t="str">
        <f ca="1">IFERROR(__xludf.DUMMYFUNCTION("""COMPUTED_VALUE"""),"JAEN")</f>
        <v>JAEN</v>
      </c>
      <c r="H2015" s="25"/>
      <c r="I2015" s="25" t="str">
        <f ca="1">IFERROR(__xludf.DUMMYFUNCTION("""COMPUTED_VALUE"""),"Prioridad 4")</f>
        <v>Prioridad 4</v>
      </c>
      <c r="J2015" s="43" t="s">
        <v>264</v>
      </c>
    </row>
    <row r="2016" spans="2:10">
      <c r="B2016" s="25" t="str">
        <f ca="1">IFERROR(__xludf.DUMMYFUNCTION("""COMPUTED_VALUE"""),"UNIVERSIDAD PRIVADA")</f>
        <v>UNIVERSIDAD PRIVADA</v>
      </c>
      <c r="C2016" s="25" t="str">
        <f ca="1">IFERROR(__xludf.DUMMYFUNCTION("""COMPUTED_VALUE"""),"UNIVERSIDAD PRIVADA ANTONIO GUILLERMO URRELO")</f>
        <v>UNIVERSIDAD PRIVADA ANTONIO GUILLERMO URRELO</v>
      </c>
      <c r="D2016" s="25" t="str">
        <f ca="1">IFERROR(__xludf.DUMMYFUNCTION("""COMPUTED_VALUE"""),"CAJAMARCA")</f>
        <v>CAJAMARCA</v>
      </c>
      <c r="E2016" s="25" t="str">
        <f ca="1">IFERROR(__xludf.DUMMYFUNCTION("""COMPUTED_VALUE"""),"CAJAMARCA")</f>
        <v>CAJAMARCA</v>
      </c>
      <c r="F2016" s="25" t="str">
        <f ca="1">IFERROR(__xludf.DUMMYFUNCTION("""COMPUTED_VALUE"""),"CAJAMARCA")</f>
        <v>CAJAMARCA</v>
      </c>
      <c r="G2016" s="25" t="str">
        <f ca="1">IFERROR(__xludf.DUMMYFUNCTION("""COMPUTED_VALUE"""),"CAJAMARCA")</f>
        <v>CAJAMARCA</v>
      </c>
      <c r="H2016" s="25"/>
      <c r="I2016" s="25" t="str">
        <f ca="1">IFERROR(__xludf.DUMMYFUNCTION("""COMPUTED_VALUE"""),"Prioridad 2")</f>
        <v>Prioridad 2</v>
      </c>
      <c r="J2016" s="43" t="s">
        <v>262</v>
      </c>
    </row>
    <row r="2017" spans="2:10">
      <c r="B2017" s="25" t="str">
        <f ca="1">IFERROR(__xludf.DUMMYFUNCTION("""COMPUTED_VALUE"""),"UNIVERSIDAD PÚBLICA")</f>
        <v>UNIVERSIDAD PÚBLICA</v>
      </c>
      <c r="C2017" s="25" t="str">
        <f ca="1">IFERROR(__xludf.DUMMYFUNCTION("""COMPUTED_VALUE"""),"UNIVERSIDAD NACIONAL DE MOQUEGUA")</f>
        <v>UNIVERSIDAD NACIONAL DE MOQUEGUA</v>
      </c>
      <c r="D2017" s="25" t="str">
        <f ca="1">IFERROR(__xludf.DUMMYFUNCTION("""COMPUTED_VALUE"""),"TACNA")</f>
        <v>TACNA</v>
      </c>
      <c r="E2017" s="25" t="str">
        <f ca="1">IFERROR(__xludf.DUMMYFUNCTION("""COMPUTED_VALUE"""),"MOQUEGUA")</f>
        <v>MOQUEGUA</v>
      </c>
      <c r="F2017" s="25" t="str">
        <f ca="1">IFERROR(__xludf.DUMMYFUNCTION("""COMPUTED_VALUE"""),"MARISCAL NIETO")</f>
        <v>MARISCAL NIETO</v>
      </c>
      <c r="G2017" s="25" t="str">
        <f ca="1">IFERROR(__xludf.DUMMYFUNCTION("""COMPUTED_VALUE"""),"MOQUEGUA")</f>
        <v>MOQUEGUA</v>
      </c>
      <c r="H2017" s="25"/>
      <c r="I2017" s="25" t="str">
        <f ca="1">IFERROR(__xludf.DUMMYFUNCTION("""COMPUTED_VALUE"""),"Prioridad 3")</f>
        <v>Prioridad 3</v>
      </c>
      <c r="J2017" s="43" t="s">
        <v>262</v>
      </c>
    </row>
    <row r="2018" spans="2:10">
      <c r="B2018" s="25" t="str">
        <f ca="1">IFERROR(__xludf.DUMMYFUNCTION("""COMPUTED_VALUE"""),"UNIVERSIDAD PRIVADA")</f>
        <v>UNIVERSIDAD PRIVADA</v>
      </c>
      <c r="C2018" s="25" t="str">
        <f ca="1">IFERROR(__xludf.DUMMYFUNCTION("""COMPUTED_VALUE"""),"UNIVERSIDAD CATÓLICA SAN PABLO")</f>
        <v>UNIVERSIDAD CATÓLICA SAN PABLO</v>
      </c>
      <c r="D2018" s="25" t="str">
        <f ca="1">IFERROR(__xludf.DUMMYFUNCTION("""COMPUTED_VALUE"""),"AREQUIPA")</f>
        <v>AREQUIPA</v>
      </c>
      <c r="E2018" s="25" t="str">
        <f ca="1">IFERROR(__xludf.DUMMYFUNCTION("""COMPUTED_VALUE"""),"AREQUIPA")</f>
        <v>AREQUIPA</v>
      </c>
      <c r="F2018" s="25" t="str">
        <f ca="1">IFERROR(__xludf.DUMMYFUNCTION("""COMPUTED_VALUE"""),"AREQUIPA")</f>
        <v>AREQUIPA</v>
      </c>
      <c r="G2018" s="25" t="str">
        <f ca="1">IFERROR(__xludf.DUMMYFUNCTION("""COMPUTED_VALUE"""),"AREQUIPA")</f>
        <v>AREQUIPA</v>
      </c>
      <c r="H2018" s="25"/>
      <c r="I2018" s="25" t="str">
        <f ca="1">IFERROR(__xludf.DUMMYFUNCTION("""COMPUTED_VALUE"""),"Prioridad 2")</f>
        <v>Prioridad 2</v>
      </c>
      <c r="J2018" s="43" t="s">
        <v>264</v>
      </c>
    </row>
    <row r="2019" spans="2:10">
      <c r="B2019" s="25" t="str">
        <f ca="1">IFERROR(__xludf.DUMMYFUNCTION("""COMPUTED_VALUE"""),"UNIVERSIDAD PÚBLICA")</f>
        <v>UNIVERSIDAD PÚBLICA</v>
      </c>
      <c r="C2019" s="25" t="str">
        <f ca="1">IFERROR(__xludf.DUMMYFUNCTION("""COMPUTED_VALUE"""),"UNIVERSIDAD NACIONAL DEL ALTIPLANO")</f>
        <v>UNIVERSIDAD NACIONAL DEL ALTIPLANO</v>
      </c>
      <c r="D2019" s="25" t="str">
        <f ca="1">IFERROR(__xludf.DUMMYFUNCTION("""COMPUTED_VALUE"""),"PUNO")</f>
        <v>PUNO</v>
      </c>
      <c r="E2019" s="25" t="str">
        <f ca="1">IFERROR(__xludf.DUMMYFUNCTION("""COMPUTED_VALUE"""),"PUNO")</f>
        <v>PUNO</v>
      </c>
      <c r="F2019" s="25" t="str">
        <f ca="1">IFERROR(__xludf.DUMMYFUNCTION("""COMPUTED_VALUE"""),"PUNO")</f>
        <v>PUNO</v>
      </c>
      <c r="G2019" s="25" t="str">
        <f ca="1">IFERROR(__xludf.DUMMYFUNCTION("""COMPUTED_VALUE"""),"PUNO")</f>
        <v>PUNO</v>
      </c>
      <c r="H2019" s="25"/>
      <c r="I2019" s="25" t="str">
        <f ca="1">IFERROR(__xludf.DUMMYFUNCTION("""COMPUTED_VALUE"""),"Prioridad 1")</f>
        <v>Prioridad 1</v>
      </c>
      <c r="J2019" s="43" t="s">
        <v>263</v>
      </c>
    </row>
    <row r="2020" spans="2:10">
      <c r="B2020" s="25" t="str">
        <f ca="1">IFERROR(__xludf.DUMMYFUNCTION("""COMPUTED_VALUE"""),"UNIVERSIDAD PRIVADA")</f>
        <v>UNIVERSIDAD PRIVADA</v>
      </c>
      <c r="C2020" s="25" t="str">
        <f ca="1">IFERROR(__xludf.DUMMYFUNCTION("""COMPUTED_VALUE"""),"UNIVERSIDAD GLOBAL DEL CUSCO SOCIEDAD ANÓNIMA CERRADA")</f>
        <v>UNIVERSIDAD GLOBAL DEL CUSCO SOCIEDAD ANÓNIMA CERRADA</v>
      </c>
      <c r="D2020" s="25" t="str">
        <f ca="1">IFERROR(__xludf.DUMMYFUNCTION("""COMPUTED_VALUE"""),"CUZCO")</f>
        <v>CUZCO</v>
      </c>
      <c r="E2020" s="25" t="str">
        <f ca="1">IFERROR(__xludf.DUMMYFUNCTION("""COMPUTED_VALUE"""),"CUZCO")</f>
        <v>CUZCO</v>
      </c>
      <c r="F2020" s="25" t="str">
        <f ca="1">IFERROR(__xludf.DUMMYFUNCTION("""COMPUTED_VALUE"""),"CUZCO")</f>
        <v>CUZCO</v>
      </c>
      <c r="G2020" s="25" t="str">
        <f ca="1">IFERROR(__xludf.DUMMYFUNCTION("""COMPUTED_VALUE"""),"CUZCO")</f>
        <v>CUZCO</v>
      </c>
      <c r="H2020" s="25"/>
      <c r="I2020" s="25" t="str">
        <f ca="1">IFERROR(__xludf.DUMMYFUNCTION("""COMPUTED_VALUE"""),"Prioridad 4")</f>
        <v>Prioridad 4</v>
      </c>
      <c r="J2020" s="43" t="s">
        <v>264</v>
      </c>
    </row>
    <row r="2021" spans="2:10">
      <c r="B2021" s="25" t="str">
        <f ca="1">IFERROR(__xludf.DUMMYFUNCTION("""COMPUTED_VALUE"""),"UNIVERSIDAD PÚBLICA")</f>
        <v>UNIVERSIDAD PÚBLICA</v>
      </c>
      <c r="C2021" s="25" t="str">
        <f ca="1">IFERROR(__xludf.DUMMYFUNCTION("""COMPUTED_VALUE"""),"UNIVERSIDAD NACIONAL DE SAN ANTONIO ABAD DEL CUSCO")</f>
        <v>UNIVERSIDAD NACIONAL DE SAN ANTONIO ABAD DEL CUSCO</v>
      </c>
      <c r="D2021" s="25" t="str">
        <f ca="1">IFERROR(__xludf.DUMMYFUNCTION("""COMPUTED_VALUE"""),"CUZCO")</f>
        <v>CUZCO</v>
      </c>
      <c r="E2021" s="25" t="str">
        <f ca="1">IFERROR(__xludf.DUMMYFUNCTION("""COMPUTED_VALUE"""),"CUZCO")</f>
        <v>CUZCO</v>
      </c>
      <c r="F2021" s="25" t="str">
        <f ca="1">IFERROR(__xludf.DUMMYFUNCTION("""COMPUTED_VALUE"""),"CUZCO")</f>
        <v>CUZCO</v>
      </c>
      <c r="G2021" s="25" t="str">
        <f ca="1">IFERROR(__xludf.DUMMYFUNCTION("""COMPUTED_VALUE"""),"CUZCO")</f>
        <v>CUZCO</v>
      </c>
      <c r="H2021" s="25"/>
      <c r="I2021" s="25" t="str">
        <f ca="1">IFERROR(__xludf.DUMMYFUNCTION("""COMPUTED_VALUE"""),"Prioridad 3")</f>
        <v>Prioridad 3</v>
      </c>
      <c r="J2021" s="43" t="s">
        <v>261</v>
      </c>
    </row>
    <row r="2022" spans="2:10">
      <c r="B2022" s="25" t="str">
        <f ca="1">IFERROR(__xludf.DUMMYFUNCTION("""COMPUTED_VALUE"""),"UNIVERSIDAD PRIVADA")</f>
        <v>UNIVERSIDAD PRIVADA</v>
      </c>
      <c r="C2022" s="25" t="str">
        <f ca="1">IFERROR(__xludf.DUMMYFUNCTION("""COMPUTED_VALUE"""),"UNIVERSIDAD PERUANA AUSTRAL DEL CUSCO S.A.C.")</f>
        <v>UNIVERSIDAD PERUANA AUSTRAL DEL CUSCO S.A.C.</v>
      </c>
      <c r="D2022" s="25" t="str">
        <f ca="1">IFERROR(__xludf.DUMMYFUNCTION("""COMPUTED_VALUE"""),"CUZCO")</f>
        <v>CUZCO</v>
      </c>
      <c r="E2022" s="25" t="str">
        <f ca="1">IFERROR(__xludf.DUMMYFUNCTION("""COMPUTED_VALUE"""),"CUZCO")</f>
        <v>CUZCO</v>
      </c>
      <c r="F2022" s="25" t="str">
        <f ca="1">IFERROR(__xludf.DUMMYFUNCTION("""COMPUTED_VALUE"""),"CUZCO")</f>
        <v>CUZCO</v>
      </c>
      <c r="G2022" s="25" t="str">
        <f ca="1">IFERROR(__xludf.DUMMYFUNCTION("""COMPUTED_VALUE"""),"CUZCO")</f>
        <v>CUZCO</v>
      </c>
      <c r="H2022" s="25"/>
      <c r="I2022" s="25" t="str">
        <f ca="1">IFERROR(__xludf.DUMMYFUNCTION("""COMPUTED_VALUE"""),"Prioridad 4")</f>
        <v>Prioridad 4</v>
      </c>
      <c r="J2022" s="43" t="s">
        <v>261</v>
      </c>
    </row>
    <row r="2023" spans="2:10">
      <c r="B2023" s="25" t="str">
        <f ca="1">IFERROR(__xludf.DUMMYFUNCTION("""COMPUTED_VALUE"""),"UNIVERSIDAD PRIVADA")</f>
        <v>UNIVERSIDAD PRIVADA</v>
      </c>
      <c r="C2023" s="25" t="str">
        <f ca="1">IFERROR(__xludf.DUMMYFUNCTION("""COMPUTED_VALUE"""),"UNIVERSIDAD PRIVADA LÍDER PERUANA S.A.C.")</f>
        <v>UNIVERSIDAD PRIVADA LÍDER PERUANA S.A.C.</v>
      </c>
      <c r="D2023" s="25" t="str">
        <f ca="1">IFERROR(__xludf.DUMMYFUNCTION("""COMPUTED_VALUE"""),"CUZCO")</f>
        <v>CUZCO</v>
      </c>
      <c r="E2023" s="25" t="str">
        <f ca="1">IFERROR(__xludf.DUMMYFUNCTION("""COMPUTED_VALUE"""),"CUZCO")</f>
        <v>CUZCO</v>
      </c>
      <c r="F2023" s="25" t="str">
        <f ca="1">IFERROR(__xludf.DUMMYFUNCTION("""COMPUTED_VALUE"""),"LA CONVENCION")</f>
        <v>LA CONVENCION</v>
      </c>
      <c r="G2023" s="25" t="str">
        <f ca="1">IFERROR(__xludf.DUMMYFUNCTION("""COMPUTED_VALUE"""),"SANTA ANA")</f>
        <v>SANTA ANA</v>
      </c>
      <c r="H2023" s="25"/>
      <c r="I2023" s="25" t="str">
        <f ca="1">IFERROR(__xludf.DUMMYFUNCTION("""COMPUTED_VALUE"""),"Prioridad 5")</f>
        <v>Prioridad 5</v>
      </c>
      <c r="J2023" s="42" t="s">
        <v>260</v>
      </c>
    </row>
    <row r="2024" spans="2:10">
      <c r="B2024" s="25" t="str">
        <f ca="1">IFERROR(__xludf.DUMMYFUNCTION("""COMPUTED_VALUE"""),"UNIVERSIDAD PRIVADA")</f>
        <v>UNIVERSIDAD PRIVADA</v>
      </c>
      <c r="C2024" s="25" t="str">
        <f ca="1">IFERROR(__xludf.DUMMYFUNCTION("""COMPUTED_VALUE"""),"UNIVERSIDAD PRIVADA DE TACNA")</f>
        <v>UNIVERSIDAD PRIVADA DE TACNA</v>
      </c>
      <c r="D2024" s="25" t="str">
        <f ca="1">IFERROR(__xludf.DUMMYFUNCTION("""COMPUTED_VALUE"""),"TACNA")</f>
        <v>TACNA</v>
      </c>
      <c r="E2024" s="25" t="str">
        <f ca="1">IFERROR(__xludf.DUMMYFUNCTION("""COMPUTED_VALUE"""),"TACNA")</f>
        <v>TACNA</v>
      </c>
      <c r="F2024" s="25" t="str">
        <f ca="1">IFERROR(__xludf.DUMMYFUNCTION("""COMPUTED_VALUE"""),"TACNA")</f>
        <v>TACNA</v>
      </c>
      <c r="G2024" s="25" t="str">
        <f ca="1">IFERROR(__xludf.DUMMYFUNCTION("""COMPUTED_VALUE"""),"TACNA")</f>
        <v>TACNA</v>
      </c>
      <c r="H2024" s="25"/>
      <c r="I2024" s="25" t="str">
        <f ca="1">IFERROR(__xludf.DUMMYFUNCTION("""COMPUTED_VALUE"""),"Prioridad 4")</f>
        <v>Prioridad 4</v>
      </c>
      <c r="J2024" s="43" t="s">
        <v>263</v>
      </c>
    </row>
    <row r="2025" spans="2:10">
      <c r="B2025" s="25" t="str">
        <f ca="1">IFERROR(__xludf.DUMMYFUNCTION("""COMPUTED_VALUE"""),"UNIVERSIDAD PRIVADA")</f>
        <v>UNIVERSIDAD PRIVADA</v>
      </c>
      <c r="C2025" s="25" t="str">
        <f ca="1">IFERROR(__xludf.DUMMYFUNCTION("""COMPUTED_VALUE"""),"UNIVERSIDAD PRIVADA DEL NORTE S.A.C.")</f>
        <v>UNIVERSIDAD PRIVADA DEL NORTE S.A.C.</v>
      </c>
      <c r="D2025" s="25" t="str">
        <f ca="1">IFERROR(__xludf.DUMMYFUNCTION("""COMPUTED_VALUE"""),"LA LIBERTAD")</f>
        <v>LA LIBERTAD</v>
      </c>
      <c r="E2025" s="25" t="str">
        <f ca="1">IFERROR(__xludf.DUMMYFUNCTION("""COMPUTED_VALUE"""),"LA LIBERTAD")</f>
        <v>LA LIBERTAD</v>
      </c>
      <c r="F2025" s="25" t="str">
        <f ca="1">IFERROR(__xludf.DUMMYFUNCTION("""COMPUTED_VALUE"""),"TRUJILLO")</f>
        <v>TRUJILLO</v>
      </c>
      <c r="G2025" s="25" t="str">
        <f ca="1">IFERROR(__xludf.DUMMYFUNCTION("""COMPUTED_VALUE"""),"TRUJILLO")</f>
        <v>TRUJILLO</v>
      </c>
      <c r="H2025" s="25"/>
      <c r="I2025" s="25" t="str">
        <f ca="1">IFERROR(__xludf.DUMMYFUNCTION("""COMPUTED_VALUE"""),"Prioridad 1")</f>
        <v>Prioridad 1</v>
      </c>
      <c r="J2025" s="43" t="s">
        <v>261</v>
      </c>
    </row>
    <row r="2026" spans="2:10">
      <c r="B2026" s="25" t="str">
        <f ca="1">IFERROR(__xludf.DUMMYFUNCTION("""COMPUTED_VALUE"""),"UNIVERSIDAD PRIVADA")</f>
        <v>UNIVERSIDAD PRIVADA</v>
      </c>
      <c r="C2026" s="25" t="str">
        <f ca="1">IFERROR(__xludf.DUMMYFUNCTION("""COMPUTED_VALUE"""),"UNIVERSIDAD PRIVADA CÉSAR VALLEJO")</f>
        <v>UNIVERSIDAD PRIVADA CÉSAR VALLEJO</v>
      </c>
      <c r="D2026" s="25" t="str">
        <f ca="1">IFERROR(__xludf.DUMMYFUNCTION("""COMPUTED_VALUE"""),"LA LIBERTAD")</f>
        <v>LA LIBERTAD</v>
      </c>
      <c r="E2026" s="25" t="str">
        <f ca="1">IFERROR(__xludf.DUMMYFUNCTION("""COMPUTED_VALUE"""),"LA LIBERTAD")</f>
        <v>LA LIBERTAD</v>
      </c>
      <c r="F2026" s="25" t="str">
        <f ca="1">IFERROR(__xludf.DUMMYFUNCTION("""COMPUTED_VALUE"""),"TRUJILLO")</f>
        <v>TRUJILLO</v>
      </c>
      <c r="G2026" s="25" t="str">
        <f ca="1">IFERROR(__xludf.DUMMYFUNCTION("""COMPUTED_VALUE"""),"TRUJILLO")</f>
        <v>TRUJILLO</v>
      </c>
      <c r="H2026" s="25"/>
      <c r="I2026" s="25" t="str">
        <f ca="1">IFERROR(__xludf.DUMMYFUNCTION("""COMPUTED_VALUE"""),"Prioridad 3")</f>
        <v>Prioridad 3</v>
      </c>
      <c r="J2026" s="43" t="s">
        <v>262</v>
      </c>
    </row>
    <row r="2027" spans="2:10">
      <c r="B2027" s="25" t="str">
        <f ca="1">IFERROR(__xludf.DUMMYFUNCTION("""COMPUTED_VALUE"""),"UNIVERSIDAD PRIVADA")</f>
        <v>UNIVERSIDAD PRIVADA</v>
      </c>
      <c r="C2027" s="25" t="str">
        <f ca="1">IFERROR(__xludf.DUMMYFUNCTION("""COMPUTED_VALUE"""),"UNIVERSIDAD PRIVADA DE TRUJILLO")</f>
        <v>UNIVERSIDAD PRIVADA DE TRUJILLO</v>
      </c>
      <c r="D2027" s="25" t="str">
        <f ca="1">IFERROR(__xludf.DUMMYFUNCTION("""COMPUTED_VALUE"""),"LA LIBERTAD")</f>
        <v>LA LIBERTAD</v>
      </c>
      <c r="E2027" s="25" t="str">
        <f ca="1">IFERROR(__xludf.DUMMYFUNCTION("""COMPUTED_VALUE"""),"LA LIBERTAD")</f>
        <v>LA LIBERTAD</v>
      </c>
      <c r="F2027" s="25" t="str">
        <f ca="1">IFERROR(__xludf.DUMMYFUNCTION("""COMPUTED_VALUE"""),"TRUJILLO")</f>
        <v>TRUJILLO</v>
      </c>
      <c r="G2027" s="25" t="str">
        <f ca="1">IFERROR(__xludf.DUMMYFUNCTION("""COMPUTED_VALUE"""),"TRUJILLO")</f>
        <v>TRUJILLO</v>
      </c>
      <c r="H2027" s="25"/>
      <c r="I2027" s="25" t="str">
        <f ca="1">IFERROR(__xludf.DUMMYFUNCTION("""COMPUTED_VALUE"""),"Prioridad 4")</f>
        <v>Prioridad 4</v>
      </c>
      <c r="J2027" s="42" t="s">
        <v>260</v>
      </c>
    </row>
    <row r="2028" spans="2:10">
      <c r="B2028" s="25" t="str">
        <f ca="1">IFERROR(__xludf.DUMMYFUNCTION("""COMPUTED_VALUE"""),"UNIVERSIDAD PRIVADA")</f>
        <v>UNIVERSIDAD PRIVADA</v>
      </c>
      <c r="C2028" s="25" t="str">
        <f ca="1">IFERROR(__xludf.DUMMYFUNCTION("""COMPUTED_VALUE"""),"UNIVERSIDAD PRIVADA LEONARDO DA VINCI S.A.C.")</f>
        <v>UNIVERSIDAD PRIVADA LEONARDO DA VINCI S.A.C.</v>
      </c>
      <c r="D2028" s="25" t="str">
        <f ca="1">IFERROR(__xludf.DUMMYFUNCTION("""COMPUTED_VALUE"""),"LA LIBERTAD")</f>
        <v>LA LIBERTAD</v>
      </c>
      <c r="E2028" s="25" t="str">
        <f ca="1">IFERROR(__xludf.DUMMYFUNCTION("""COMPUTED_VALUE"""),"LA LIBERTAD")</f>
        <v>LA LIBERTAD</v>
      </c>
      <c r="F2028" s="25" t="str">
        <f ca="1">IFERROR(__xludf.DUMMYFUNCTION("""COMPUTED_VALUE"""),"TRUJILLO")</f>
        <v>TRUJILLO</v>
      </c>
      <c r="G2028" s="25" t="str">
        <f ca="1">IFERROR(__xludf.DUMMYFUNCTION("""COMPUTED_VALUE"""),"TRUJILLO")</f>
        <v>TRUJILLO</v>
      </c>
      <c r="H2028" s="25"/>
      <c r="I2028" s="25" t="str">
        <f ca="1">IFERROR(__xludf.DUMMYFUNCTION("""COMPUTED_VALUE"""),"Prioridad 4")</f>
        <v>Prioridad 4</v>
      </c>
      <c r="J2028" s="43" t="s">
        <v>263</v>
      </c>
    </row>
    <row r="2029" spans="2:10">
      <c r="B2029" s="25" t="str">
        <f ca="1">IFERROR(__xludf.DUMMYFUNCTION("""COMPUTED_VALUE"""),"UNIVERSIDAD PRIVADA")</f>
        <v>UNIVERSIDAD PRIVADA</v>
      </c>
      <c r="C2029" s="25" t="str">
        <f ca="1">IFERROR(__xludf.DUMMYFUNCTION("""COMPUTED_VALUE"""),"UNIVERSIDAD CIENCIAS DE LA SALUD S.A.C.")</f>
        <v>UNIVERSIDAD CIENCIAS DE LA SALUD S.A.C.</v>
      </c>
      <c r="D2029" s="25" t="str">
        <f ca="1">IFERROR(__xludf.DUMMYFUNCTION("""COMPUTED_VALUE"""),"AREQUIPA")</f>
        <v>AREQUIPA</v>
      </c>
      <c r="E2029" s="25" t="str">
        <f ca="1">IFERROR(__xludf.DUMMYFUNCTION("""COMPUTED_VALUE"""),"AREQUIPA")</f>
        <v>AREQUIPA</v>
      </c>
      <c r="F2029" s="25" t="str">
        <f ca="1">IFERROR(__xludf.DUMMYFUNCTION("""COMPUTED_VALUE"""),"AREQUIPA")</f>
        <v>AREQUIPA</v>
      </c>
      <c r="G2029" s="25" t="str">
        <f ca="1">IFERROR(__xludf.DUMMYFUNCTION("""COMPUTED_VALUE"""),"AREQUIPA")</f>
        <v>AREQUIPA</v>
      </c>
      <c r="H2029" s="25"/>
      <c r="I2029" s="25" t="str">
        <f ca="1">IFERROR(__xludf.DUMMYFUNCTION("""COMPUTED_VALUE"""),"Prioridad 5")</f>
        <v>Prioridad 5</v>
      </c>
      <c r="J2029" s="42" t="s">
        <v>260</v>
      </c>
    </row>
    <row r="2030" spans="2:10">
      <c r="B2030" s="25" t="str">
        <f ca="1">IFERROR(__xludf.DUMMYFUNCTION("""COMPUTED_VALUE"""),"UNIVERSIDAD PRIVADA")</f>
        <v>UNIVERSIDAD PRIVADA</v>
      </c>
      <c r="C2030" s="25" t="str">
        <f ca="1">IFERROR(__xludf.DUMMYFUNCTION("""COMPUTED_VALUE"""),"UNIVERSIDAD LA SALLE")</f>
        <v>UNIVERSIDAD LA SALLE</v>
      </c>
      <c r="D2030" s="25" t="str">
        <f ca="1">IFERROR(__xludf.DUMMYFUNCTION("""COMPUTED_VALUE"""),"AREQUIPA")</f>
        <v>AREQUIPA</v>
      </c>
      <c r="E2030" s="25" t="str">
        <f ca="1">IFERROR(__xludf.DUMMYFUNCTION("""COMPUTED_VALUE"""),"AREQUIPA")</f>
        <v>AREQUIPA</v>
      </c>
      <c r="F2030" s="25" t="str">
        <f ca="1">IFERROR(__xludf.DUMMYFUNCTION("""COMPUTED_VALUE"""),"AREQUIPA")</f>
        <v>AREQUIPA</v>
      </c>
      <c r="G2030" s="25" t="str">
        <f ca="1">IFERROR(__xludf.DUMMYFUNCTION("""COMPUTED_VALUE"""),"AREQUIPA")</f>
        <v>AREQUIPA</v>
      </c>
      <c r="H2030" s="25"/>
      <c r="I2030" s="25" t="str">
        <f ca="1">IFERROR(__xludf.DUMMYFUNCTION("""COMPUTED_VALUE"""),"Prioridad 4")</f>
        <v>Prioridad 4</v>
      </c>
      <c r="J2030" s="43" t="s">
        <v>261</v>
      </c>
    </row>
    <row r="2031" spans="2:10">
      <c r="B2031" s="25" t="str">
        <f ca="1">IFERROR(__xludf.DUMMYFUNCTION("""COMPUTED_VALUE"""),"UNIVERSIDAD PÚBLICA")</f>
        <v>UNIVERSIDAD PÚBLICA</v>
      </c>
      <c r="C2031" s="25" t="str">
        <f ca="1">IFERROR(__xludf.DUMMYFUNCTION("""COMPUTED_VALUE"""),"UNIVERSIDAD NACIONAL DE SAN AGUSTÍN")</f>
        <v>UNIVERSIDAD NACIONAL DE SAN AGUSTÍN</v>
      </c>
      <c r="D2031" s="25" t="str">
        <f ca="1">IFERROR(__xludf.DUMMYFUNCTION("""COMPUTED_VALUE"""),"AREQUIPA")</f>
        <v>AREQUIPA</v>
      </c>
      <c r="E2031" s="25" t="str">
        <f ca="1">IFERROR(__xludf.DUMMYFUNCTION("""COMPUTED_VALUE"""),"AREQUIPA")</f>
        <v>AREQUIPA</v>
      </c>
      <c r="F2031" s="25" t="str">
        <f ca="1">IFERROR(__xludf.DUMMYFUNCTION("""COMPUTED_VALUE"""),"AREQUIPA")</f>
        <v>AREQUIPA</v>
      </c>
      <c r="G2031" s="25" t="str">
        <f ca="1">IFERROR(__xludf.DUMMYFUNCTION("""COMPUTED_VALUE"""),"AREQUIPA")</f>
        <v>AREQUIPA</v>
      </c>
      <c r="H2031" s="25"/>
      <c r="I2031" s="25" t="str">
        <f ca="1">IFERROR(__xludf.DUMMYFUNCTION("""COMPUTED_VALUE"""),"Prioridad 1")</f>
        <v>Prioridad 1</v>
      </c>
      <c r="J2031" s="42" t="s">
        <v>260</v>
      </c>
    </row>
    <row r="2032" spans="2:10">
      <c r="B2032" s="25" t="str">
        <f ca="1">IFERROR(__xludf.DUMMYFUNCTION("""COMPUTED_VALUE"""),"UNIVERSIDAD PRIVADA")</f>
        <v>UNIVERSIDAD PRIVADA</v>
      </c>
      <c r="C2032" s="25" t="str">
        <f ca="1">IFERROR(__xludf.DUMMYFUNCTION("""COMPUTED_VALUE"""),"UNIVERSIDAD PRIVADA AUTÓNOMA DEL SUR S.A.C.")</f>
        <v>UNIVERSIDAD PRIVADA AUTÓNOMA DEL SUR S.A.C.</v>
      </c>
      <c r="D2032" s="25" t="str">
        <f ca="1">IFERROR(__xludf.DUMMYFUNCTION("""COMPUTED_VALUE"""),"AREQUIPA")</f>
        <v>AREQUIPA</v>
      </c>
      <c r="E2032" s="25" t="str">
        <f ca="1">IFERROR(__xludf.DUMMYFUNCTION("""COMPUTED_VALUE"""),"AREQUIPA")</f>
        <v>AREQUIPA</v>
      </c>
      <c r="F2032" s="25" t="str">
        <f ca="1">IFERROR(__xludf.DUMMYFUNCTION("""COMPUTED_VALUE"""),"AREQUIPA")</f>
        <v>AREQUIPA</v>
      </c>
      <c r="G2032" s="25" t="str">
        <f ca="1">IFERROR(__xludf.DUMMYFUNCTION("""COMPUTED_VALUE"""),"SANTA ISABEL DE SIGUAS")</f>
        <v>SANTA ISABEL DE SIGUAS</v>
      </c>
      <c r="H2032" s="25"/>
      <c r="I2032" s="25" t="str">
        <f ca="1">IFERROR(__xludf.DUMMYFUNCTION("""COMPUTED_VALUE"""),"Prioridad 5")</f>
        <v>Prioridad 5</v>
      </c>
      <c r="J2032" s="43" t="s">
        <v>261</v>
      </c>
    </row>
    <row r="2033" spans="2:10">
      <c r="B2033" s="25" t="str">
        <f ca="1">IFERROR(__xludf.DUMMYFUNCTION("""COMPUTED_VALUE"""),"UNIVERSIDAD PÚBLICA")</f>
        <v>UNIVERSIDAD PÚBLICA</v>
      </c>
      <c r="C2033" s="25" t="str">
        <f ca="1">IFERROR(__xludf.DUMMYFUNCTION("""COMPUTED_VALUE"""),"UNIVERSIDAD NACIONAL JOSÉ MARÍA ARGUEDAS")</f>
        <v>UNIVERSIDAD NACIONAL JOSÉ MARÍA ARGUEDAS</v>
      </c>
      <c r="D2033" s="25" t="str">
        <f ca="1">IFERROR(__xludf.DUMMYFUNCTION("""COMPUTED_VALUE"""),"CUZCO")</f>
        <v>CUZCO</v>
      </c>
      <c r="E2033" s="25" t="str">
        <f ca="1">IFERROR(__xludf.DUMMYFUNCTION("""COMPUTED_VALUE"""),"APURÍMAC")</f>
        <v>APURÍMAC</v>
      </c>
      <c r="F2033" s="25" t="str">
        <f ca="1">IFERROR(__xludf.DUMMYFUNCTION("""COMPUTED_VALUE"""),"ANDAHUAYLAS")</f>
        <v>ANDAHUAYLAS</v>
      </c>
      <c r="G2033" s="25" t="str">
        <f ca="1">IFERROR(__xludf.DUMMYFUNCTION("""COMPUTED_VALUE"""),"ANDAHUAYLAS")</f>
        <v>ANDAHUAYLAS</v>
      </c>
      <c r="H2033" s="25"/>
      <c r="I2033" s="25" t="str">
        <f ca="1">IFERROR(__xludf.DUMMYFUNCTION("""COMPUTED_VALUE"""),"Prioridad 4")</f>
        <v>Prioridad 4</v>
      </c>
      <c r="J2033" s="43" t="s">
        <v>263</v>
      </c>
    </row>
    <row r="2034" spans="2:10">
      <c r="B2034" s="25" t="str">
        <f ca="1">IFERROR(__xludf.DUMMYFUNCTION("""COMPUTED_VALUE"""),"UNIVERSIDAD PÚBLICA")</f>
        <v>UNIVERSIDAD PÚBLICA</v>
      </c>
      <c r="C2034" s="25" t="str">
        <f ca="1">IFERROR(__xludf.DUMMYFUNCTION("""COMPUTED_VALUE"""),"UNIVERSIDAD NACIONAL TORIBIO RODRÍGUEZ DE MENDOZA DE AMAZONAS")</f>
        <v>UNIVERSIDAD NACIONAL TORIBIO RODRÍGUEZ DE MENDOZA DE AMAZONAS</v>
      </c>
      <c r="D2034" s="25" t="str">
        <f ca="1">IFERROR(__xludf.DUMMYFUNCTION("""COMPUTED_VALUE"""),"LAMBAYEQUE")</f>
        <v>LAMBAYEQUE</v>
      </c>
      <c r="E2034" s="25" t="str">
        <f ca="1">IFERROR(__xludf.DUMMYFUNCTION("""COMPUTED_VALUE"""),"AMAZONAS")</f>
        <v>AMAZONAS</v>
      </c>
      <c r="F2034" s="25" t="str">
        <f ca="1">IFERROR(__xludf.DUMMYFUNCTION("""COMPUTED_VALUE"""),"CHACHAPOYAS")</f>
        <v>CHACHAPOYAS</v>
      </c>
      <c r="G2034" s="25" t="str">
        <f ca="1">IFERROR(__xludf.DUMMYFUNCTION("""COMPUTED_VALUE"""),"CHACHAPOYAS")</f>
        <v>CHACHAPOYAS</v>
      </c>
      <c r="H2034" s="25"/>
      <c r="I2034" s="25" t="str">
        <f ca="1">IFERROR(__xludf.DUMMYFUNCTION("""COMPUTED_VALUE"""),"Prioridad 2")</f>
        <v>Prioridad 2</v>
      </c>
      <c r="J2034" s="43" t="s">
        <v>264</v>
      </c>
    </row>
    <row r="2035" spans="2:10">
      <c r="B2035" s="25" t="str">
        <f ca="1">IFERROR(__xludf.DUMMYFUNCTION("""COMPUTED_VALUE"""),"UNIVERSIDAD PÚBLICA")</f>
        <v>UNIVERSIDAD PÚBLICA</v>
      </c>
      <c r="C2035" s="25" t="str">
        <f ca="1">IFERROR(__xludf.DUMMYFUNCTION("""COMPUTED_VALUE"""),"UNIVERSIDAD NACIONAL AUTÓNOMA DE HUANTA")</f>
        <v>UNIVERSIDAD NACIONAL AUTÓNOMA DE HUANTA</v>
      </c>
      <c r="D2035" s="25" t="str">
        <f ca="1">IFERROR(__xludf.DUMMYFUNCTION("""COMPUTED_VALUE"""),"ICA")</f>
        <v>ICA</v>
      </c>
      <c r="E2035" s="25" t="str">
        <f ca="1">IFERROR(__xludf.DUMMYFUNCTION("""COMPUTED_VALUE"""),"AYACUCHO")</f>
        <v>AYACUCHO</v>
      </c>
      <c r="F2035" s="25" t="str">
        <f ca="1">IFERROR(__xludf.DUMMYFUNCTION("""COMPUTED_VALUE"""),"HUAMANGA")</f>
        <v>HUAMANGA</v>
      </c>
      <c r="G2035" s="25" t="str">
        <f ca="1">IFERROR(__xludf.DUMMYFUNCTION("""COMPUTED_VALUE"""),"AYACUCHO")</f>
        <v>AYACUCHO</v>
      </c>
      <c r="H2035" s="25"/>
      <c r="I2035" s="25" t="str">
        <f ca="1">IFERROR(__xludf.DUMMYFUNCTION("""COMPUTED_VALUE"""),"Prioridad 5")</f>
        <v>Prioridad 5</v>
      </c>
      <c r="J2035" s="43" t="s">
        <v>263</v>
      </c>
    </row>
    <row r="2036" spans="2:10">
      <c r="B2036" s="25" t="str">
        <f ca="1">IFERROR(__xludf.DUMMYFUNCTION("""COMPUTED_VALUE"""),"UNIVERSIDAD PRIVADA")</f>
        <v>UNIVERSIDAD PRIVADA</v>
      </c>
      <c r="C2036" s="25" t="str">
        <f ca="1">IFERROR(__xludf.DUMMYFUNCTION("""COMPUTED_VALUE"""),"UNIVERSIDAD DE PIURA")</f>
        <v>UNIVERSIDAD DE PIURA</v>
      </c>
      <c r="D2036" s="25" t="str">
        <f ca="1">IFERROR(__xludf.DUMMYFUNCTION("""COMPUTED_VALUE"""),"PIURA")</f>
        <v>PIURA</v>
      </c>
      <c r="E2036" s="25" t="str">
        <f ca="1">IFERROR(__xludf.DUMMYFUNCTION("""COMPUTED_VALUE"""),"PIURA")</f>
        <v>PIURA</v>
      </c>
      <c r="F2036" s="25" t="str">
        <f ca="1">IFERROR(__xludf.DUMMYFUNCTION("""COMPUTED_VALUE"""),"PIURA")</f>
        <v>PIURA</v>
      </c>
      <c r="G2036" s="25" t="str">
        <f ca="1">IFERROR(__xludf.DUMMYFUNCTION("""COMPUTED_VALUE"""),"PIURA")</f>
        <v>PIURA</v>
      </c>
      <c r="H2036" s="25"/>
      <c r="I2036" s="25" t="str">
        <f ca="1">IFERROR(__xludf.DUMMYFUNCTION("""COMPUTED_VALUE"""),"Prioridad 2")</f>
        <v>Prioridad 2</v>
      </c>
      <c r="J2036" s="42" t="s">
        <v>260</v>
      </c>
    </row>
    <row r="2037" spans="2:10">
      <c r="B2037" s="25" t="str">
        <f ca="1">IFERROR(__xludf.DUMMYFUNCTION("""COMPUTED_VALUE"""),"UNIVERSIDAD PRIVADA")</f>
        <v>UNIVERSIDAD PRIVADA</v>
      </c>
      <c r="C2037" s="25" t="str">
        <f ca="1">IFERROR(__xludf.DUMMYFUNCTION("""COMPUTED_VALUE"""),"UNIVERSIDAD PARA EL DESARROLLO ANDINO")</f>
        <v>UNIVERSIDAD PARA EL DESARROLLO ANDINO</v>
      </c>
      <c r="D2037" s="25" t="str">
        <f ca="1">IFERROR(__xludf.DUMMYFUNCTION("""COMPUTED_VALUE"""),"JUNÍN")</f>
        <v>JUNÍN</v>
      </c>
      <c r="E2037" s="25" t="str">
        <f ca="1">IFERROR(__xludf.DUMMYFUNCTION("""COMPUTED_VALUE"""),"HUANCAVELICA")</f>
        <v>HUANCAVELICA</v>
      </c>
      <c r="F2037" s="25" t="str">
        <f ca="1">IFERROR(__xludf.DUMMYFUNCTION("""COMPUTED_VALUE"""),"ANGARAES")</f>
        <v>ANGARAES</v>
      </c>
      <c r="G2037" s="25" t="str">
        <f ca="1">IFERROR(__xludf.DUMMYFUNCTION("""COMPUTED_VALUE"""),"LIRCAY")</f>
        <v>LIRCAY</v>
      </c>
      <c r="H2037" s="25"/>
      <c r="I2037" s="25" t="str">
        <f ca="1">IFERROR(__xludf.DUMMYFUNCTION("""COMPUTED_VALUE"""),"Prioridad 5")</f>
        <v>Prioridad 5</v>
      </c>
      <c r="J2037" s="43" t="s">
        <v>262</v>
      </c>
    </row>
    <row r="2038" spans="2:10">
      <c r="B2038" s="25" t="str">
        <f ca="1">IFERROR(__xludf.DUMMYFUNCTION("""COMPUTED_VALUE"""),"UNIVERSIDAD PRIVADA")</f>
        <v>UNIVERSIDAD PRIVADA</v>
      </c>
      <c r="C2038" s="25" t="str">
        <f ca="1">IFERROR(__xludf.DUMMYFUNCTION("""COMPUTED_VALUE"""),"UNIVERSIDAD AUTÓNOMA DE ICA S.A.C.")</f>
        <v>UNIVERSIDAD AUTÓNOMA DE ICA S.A.C.</v>
      </c>
      <c r="D2038" s="25" t="str">
        <f ca="1">IFERROR(__xludf.DUMMYFUNCTION("""COMPUTED_VALUE"""),"ICA")</f>
        <v>ICA</v>
      </c>
      <c r="E2038" s="25" t="str">
        <f ca="1">IFERROR(__xludf.DUMMYFUNCTION("""COMPUTED_VALUE"""),"ICA")</f>
        <v>ICA</v>
      </c>
      <c r="F2038" s="25" t="str">
        <f ca="1">IFERROR(__xludf.DUMMYFUNCTION("""COMPUTED_VALUE"""),"CHINCHA")</f>
        <v>CHINCHA</v>
      </c>
      <c r="G2038" s="25" t="str">
        <f ca="1">IFERROR(__xludf.DUMMYFUNCTION("""COMPUTED_VALUE"""),"CHINCHA ALTA")</f>
        <v>CHINCHA ALTA</v>
      </c>
      <c r="H2038" s="25"/>
      <c r="I2038" s="25" t="str">
        <f ca="1">IFERROR(__xludf.DUMMYFUNCTION("""COMPUTED_VALUE"""),"Prioridad 4")</f>
        <v>Prioridad 4</v>
      </c>
      <c r="J2038" s="43" t="s">
        <v>264</v>
      </c>
    </row>
    <row r="2039" spans="2:10">
      <c r="B2039" s="25" t="str">
        <f ca="1">IFERROR(__xludf.DUMMYFUNCTION("""COMPUTED_VALUE"""),"UNIVERSIDAD PÚBLICA")</f>
        <v>UNIVERSIDAD PÚBLICA</v>
      </c>
      <c r="C2039" s="25" t="str">
        <f ca="1">IFERROR(__xludf.DUMMYFUNCTION("""COMPUTED_VALUE"""),"UNIVERSIDAD NACIONAL SAN LUIS GONZAGA DE ICA")</f>
        <v>UNIVERSIDAD NACIONAL SAN LUIS GONZAGA DE ICA</v>
      </c>
      <c r="D2039" s="25" t="str">
        <f ca="1">IFERROR(__xludf.DUMMYFUNCTION("""COMPUTED_VALUE"""),"ICA")</f>
        <v>ICA</v>
      </c>
      <c r="E2039" s="25" t="str">
        <f ca="1">IFERROR(__xludf.DUMMYFUNCTION("""COMPUTED_VALUE"""),"ICA")</f>
        <v>ICA</v>
      </c>
      <c r="F2039" s="25" t="str">
        <f ca="1">IFERROR(__xludf.DUMMYFUNCTION("""COMPUTED_VALUE"""),"ICA")</f>
        <v>ICA</v>
      </c>
      <c r="G2039" s="25" t="str">
        <f ca="1">IFERROR(__xludf.DUMMYFUNCTION("""COMPUTED_VALUE"""),"ICA")</f>
        <v>ICA</v>
      </c>
      <c r="H2039" s="25"/>
      <c r="I2039" s="25" t="str">
        <f ca="1">IFERROR(__xludf.DUMMYFUNCTION("""COMPUTED_VALUE"""),"Prioridad 1")</f>
        <v>Prioridad 1</v>
      </c>
      <c r="J2039" s="43" t="s">
        <v>261</v>
      </c>
    </row>
    <row r="2040" spans="2:10">
      <c r="B2040" s="25" t="str">
        <f ca="1">IFERROR(__xludf.DUMMYFUNCTION("""COMPUTED_VALUE"""),"COLEGIO PROFESIONAL")</f>
        <v>COLEGIO PROFESIONAL</v>
      </c>
      <c r="C2040" s="25" t="str">
        <f ca="1">IFERROR(__xludf.DUMMYFUNCTION("""COMPUTED_VALUE"""),"COLEGIO DE CONTADORES PÚBLICOS DE AMAZONAS")</f>
        <v>COLEGIO DE CONTADORES PÚBLICOS DE AMAZONAS</v>
      </c>
      <c r="D2040" s="25" t="str">
        <f ca="1">IFERROR(__xludf.DUMMYFUNCTION("""COMPUTED_VALUE"""),"LAMBAYEQUE")</f>
        <v>LAMBAYEQUE</v>
      </c>
      <c r="E2040" s="25" t="str">
        <f ca="1">IFERROR(__xludf.DUMMYFUNCTION("""COMPUTED_VALUE"""),"AMAZONAS")</f>
        <v>AMAZONAS</v>
      </c>
      <c r="F2040" s="25" t="str">
        <f ca="1">IFERROR(__xludf.DUMMYFUNCTION("""COMPUTED_VALUE"""),"CHACHAPOYAS")</f>
        <v>CHACHAPOYAS</v>
      </c>
      <c r="G2040" s="25" t="str">
        <f ca="1">IFERROR(__xludf.DUMMYFUNCTION("""COMPUTED_VALUE"""),"CHACHAPOYAS")</f>
        <v>CHACHAPOYAS</v>
      </c>
      <c r="H2040" s="25"/>
      <c r="I2040" s="25" t="str">
        <f ca="1">IFERROR(__xludf.DUMMYFUNCTION("""COMPUTED_VALUE"""),"Prioridad 5")</f>
        <v>Prioridad 5</v>
      </c>
      <c r="J2040" s="43" t="s">
        <v>263</v>
      </c>
    </row>
    <row r="2041" spans="2:10">
      <c r="B2041" s="25" t="str">
        <f ca="1">IFERROR(__xludf.DUMMYFUNCTION("""COMPUTED_VALUE"""),"COLEGIO PROFESIONAL")</f>
        <v>COLEGIO PROFESIONAL</v>
      </c>
      <c r="C2041" s="25" t="str">
        <f ca="1">IFERROR(__xludf.DUMMYFUNCTION("""COMPUTED_VALUE"""),"COLEGIO DE CONTADORES PÚBLICOS DE ANCASH")</f>
        <v>COLEGIO DE CONTADORES PÚBLICOS DE ANCASH</v>
      </c>
      <c r="D2041" s="25" t="str">
        <f ca="1">IFERROR(__xludf.DUMMYFUNCTION("""COMPUTED_VALUE"""),"LA LIBERTAD")</f>
        <v>LA LIBERTAD</v>
      </c>
      <c r="E2041" s="25" t="str">
        <f ca="1">IFERROR(__xludf.DUMMYFUNCTION("""COMPUTED_VALUE"""),"ANCASH")</f>
        <v>ANCASH</v>
      </c>
      <c r="F2041" s="25" t="str">
        <f ca="1">IFERROR(__xludf.DUMMYFUNCTION("""COMPUTED_VALUE"""),"SANTA")</f>
        <v>SANTA</v>
      </c>
      <c r="G2041" s="25" t="str">
        <f ca="1">IFERROR(__xludf.DUMMYFUNCTION("""COMPUTED_VALUE"""),"CHIMBOTE")</f>
        <v>CHIMBOTE</v>
      </c>
      <c r="H2041" s="25"/>
      <c r="I2041" s="25" t="str">
        <f ca="1">IFERROR(__xludf.DUMMYFUNCTION("""COMPUTED_VALUE"""),"Prioridad 1")</f>
        <v>Prioridad 1</v>
      </c>
      <c r="J2041" s="43" t="s">
        <v>264</v>
      </c>
    </row>
    <row r="2042" spans="2:10">
      <c r="B2042" s="25" t="str">
        <f ca="1">IFERROR(__xludf.DUMMYFUNCTION("""COMPUTED_VALUE"""),"COLEGIO PROFESIONAL")</f>
        <v>COLEGIO PROFESIONAL</v>
      </c>
      <c r="C2042" s="25" t="str">
        <f ca="1">IFERROR(__xludf.DUMMYFUNCTION("""COMPUTED_VALUE"""),"COLEGIO DE CONTADORES PÚBLICOS DE APURIMAC")</f>
        <v>COLEGIO DE CONTADORES PÚBLICOS DE APURIMAC</v>
      </c>
      <c r="D2042" s="25" t="str">
        <f ca="1">IFERROR(__xludf.DUMMYFUNCTION("""COMPUTED_VALUE"""),"CUZCO")</f>
        <v>CUZCO</v>
      </c>
      <c r="E2042" s="25" t="str">
        <f ca="1">IFERROR(__xludf.DUMMYFUNCTION("""COMPUTED_VALUE"""),"APURÍMAC")</f>
        <v>APURÍMAC</v>
      </c>
      <c r="F2042" s="25" t="str">
        <f ca="1">IFERROR(__xludf.DUMMYFUNCTION("""COMPUTED_VALUE"""),"ABANCAY")</f>
        <v>ABANCAY</v>
      </c>
      <c r="G2042" s="25" t="str">
        <f ca="1">IFERROR(__xludf.DUMMYFUNCTION("""COMPUTED_VALUE"""),"ABANCAY")</f>
        <v>ABANCAY</v>
      </c>
      <c r="H2042" s="25"/>
      <c r="I2042" s="25" t="str">
        <f ca="1">IFERROR(__xludf.DUMMYFUNCTION("""COMPUTED_VALUE"""),"Prioridad 2")</f>
        <v>Prioridad 2</v>
      </c>
      <c r="J2042" s="43" t="s">
        <v>264</v>
      </c>
    </row>
    <row r="2043" spans="2:10">
      <c r="B2043" s="25" t="str">
        <f ca="1">IFERROR(__xludf.DUMMYFUNCTION("""COMPUTED_VALUE"""),"COLEGIO PROFESIONAL")</f>
        <v>COLEGIO PROFESIONAL</v>
      </c>
      <c r="C2043" s="25" t="str">
        <f ca="1">IFERROR(__xludf.DUMMYFUNCTION("""COMPUTED_VALUE"""),"COLEGIO DE CONTADORES PÚBLICOS DE AREQUIPA")</f>
        <v>COLEGIO DE CONTADORES PÚBLICOS DE AREQUIPA</v>
      </c>
      <c r="D2043" s="25" t="str">
        <f ca="1">IFERROR(__xludf.DUMMYFUNCTION("""COMPUTED_VALUE"""),"AREQUIPA")</f>
        <v>AREQUIPA</v>
      </c>
      <c r="E2043" s="25" t="str">
        <f ca="1">IFERROR(__xludf.DUMMYFUNCTION("""COMPUTED_VALUE"""),"AREQUIPA")</f>
        <v>AREQUIPA</v>
      </c>
      <c r="F2043" s="25" t="str">
        <f ca="1">IFERROR(__xludf.DUMMYFUNCTION("""COMPUTED_VALUE"""),"AREQUIPA")</f>
        <v>AREQUIPA</v>
      </c>
      <c r="G2043" s="25" t="str">
        <f ca="1">IFERROR(__xludf.DUMMYFUNCTION("""COMPUTED_VALUE"""),"AREQUIPA")</f>
        <v>AREQUIPA</v>
      </c>
      <c r="H2043" s="25"/>
      <c r="I2043" s="25" t="str">
        <f ca="1">IFERROR(__xludf.DUMMYFUNCTION("""COMPUTED_VALUE"""),"Prioridad 2")</f>
        <v>Prioridad 2</v>
      </c>
      <c r="J2043" s="42" t="s">
        <v>260</v>
      </c>
    </row>
    <row r="2044" spans="2:10">
      <c r="B2044" s="25" t="str">
        <f ca="1">IFERROR(__xludf.DUMMYFUNCTION("""COMPUTED_VALUE"""),"COLEGIO PROFESIONAL")</f>
        <v>COLEGIO PROFESIONAL</v>
      </c>
      <c r="C2044" s="25" t="str">
        <f ca="1">IFERROR(__xludf.DUMMYFUNCTION("""COMPUTED_VALUE"""),"COLEGIO DE CONTADORES PÚBLICOS DE AYACUCHO")</f>
        <v>COLEGIO DE CONTADORES PÚBLICOS DE AYACUCHO</v>
      </c>
      <c r="D2044" s="25" t="str">
        <f ca="1">IFERROR(__xludf.DUMMYFUNCTION("""COMPUTED_VALUE"""),"ICA")</f>
        <v>ICA</v>
      </c>
      <c r="E2044" s="25" t="str">
        <f ca="1">IFERROR(__xludf.DUMMYFUNCTION("""COMPUTED_VALUE"""),"AYACUCHO")</f>
        <v>AYACUCHO</v>
      </c>
      <c r="F2044" s="25" t="str">
        <f ca="1">IFERROR(__xludf.DUMMYFUNCTION("""COMPUTED_VALUE"""),"HUAMANGA")</f>
        <v>HUAMANGA</v>
      </c>
      <c r="G2044" s="25" t="str">
        <f ca="1">IFERROR(__xludf.DUMMYFUNCTION("""COMPUTED_VALUE"""),"AYACUCHO")</f>
        <v>AYACUCHO</v>
      </c>
      <c r="H2044" s="25"/>
      <c r="I2044" s="25" t="str">
        <f ca="1">IFERROR(__xludf.DUMMYFUNCTION("""COMPUTED_VALUE"""),"Prioridad 4")</f>
        <v>Prioridad 4</v>
      </c>
      <c r="J2044" s="42" t="s">
        <v>260</v>
      </c>
    </row>
    <row r="2045" spans="2:10">
      <c r="B2045" s="25" t="str">
        <f ca="1">IFERROR(__xludf.DUMMYFUNCTION("""COMPUTED_VALUE"""),"COLEGIO PROFESIONAL")</f>
        <v>COLEGIO PROFESIONAL</v>
      </c>
      <c r="C2045" s="25" t="str">
        <f ca="1">IFERROR(__xludf.DUMMYFUNCTION("""COMPUTED_VALUE"""),"COLEGIO DE CONTADORES PÚBLICOS DE CAJAMARCA")</f>
        <v>COLEGIO DE CONTADORES PÚBLICOS DE CAJAMARCA</v>
      </c>
      <c r="D2045" s="25" t="str">
        <f ca="1">IFERROR(__xludf.DUMMYFUNCTION("""COMPUTED_VALUE"""),"CAJAMARCA")</f>
        <v>CAJAMARCA</v>
      </c>
      <c r="E2045" s="25" t="str">
        <f ca="1">IFERROR(__xludf.DUMMYFUNCTION("""COMPUTED_VALUE"""),"CAJAMARCA")</f>
        <v>CAJAMARCA</v>
      </c>
      <c r="F2045" s="25" t="str">
        <f ca="1">IFERROR(__xludf.DUMMYFUNCTION("""COMPUTED_VALUE"""),"CAJAMARCA")</f>
        <v>CAJAMARCA</v>
      </c>
      <c r="G2045" s="25" t="str">
        <f ca="1">IFERROR(__xludf.DUMMYFUNCTION("""COMPUTED_VALUE"""),"CAJAMARCA")</f>
        <v>CAJAMARCA</v>
      </c>
      <c r="H2045" s="25"/>
      <c r="I2045" s="25" t="str">
        <f ca="1">IFERROR(__xludf.DUMMYFUNCTION("""COMPUTED_VALUE"""),"Prioridad 1")</f>
        <v>Prioridad 1</v>
      </c>
      <c r="J2045" s="43" t="s">
        <v>262</v>
      </c>
    </row>
    <row r="2046" spans="2:10">
      <c r="B2046" s="25" t="str">
        <f ca="1">IFERROR(__xludf.DUMMYFUNCTION("""COMPUTED_VALUE"""),"COLEGIO PROFESIONAL")</f>
        <v>COLEGIO PROFESIONAL</v>
      </c>
      <c r="C2046" s="25" t="str">
        <f ca="1">IFERROR(__xludf.DUMMYFUNCTION("""COMPUTED_VALUE"""),"COLEGIO DE CONTADORES PÚBLICOS DEL CUSCO")</f>
        <v>COLEGIO DE CONTADORES PÚBLICOS DEL CUSCO</v>
      </c>
      <c r="D2046" s="25" t="str">
        <f ca="1">IFERROR(__xludf.DUMMYFUNCTION("""COMPUTED_VALUE"""),"CUZCO")</f>
        <v>CUZCO</v>
      </c>
      <c r="E2046" s="25" t="str">
        <f ca="1">IFERROR(__xludf.DUMMYFUNCTION("""COMPUTED_VALUE"""),"CUZCO")</f>
        <v>CUZCO</v>
      </c>
      <c r="F2046" s="25" t="str">
        <f ca="1">IFERROR(__xludf.DUMMYFUNCTION("""COMPUTED_VALUE"""),"CUZCO")</f>
        <v>CUZCO</v>
      </c>
      <c r="G2046" s="25" t="str">
        <f ca="1">IFERROR(__xludf.DUMMYFUNCTION("""COMPUTED_VALUE"""),"WANCHAQ")</f>
        <v>WANCHAQ</v>
      </c>
      <c r="H2046" s="25"/>
      <c r="I2046" s="25" t="str">
        <f ca="1">IFERROR(__xludf.DUMMYFUNCTION("""COMPUTED_VALUE"""),"Prioridad 1")</f>
        <v>Prioridad 1</v>
      </c>
      <c r="J2046" s="43" t="s">
        <v>263</v>
      </c>
    </row>
    <row r="2047" spans="2:10">
      <c r="B2047" s="25" t="str">
        <f ca="1">IFERROR(__xludf.DUMMYFUNCTION("""COMPUTED_VALUE"""),"COLEGIO PROFESIONAL")</f>
        <v>COLEGIO PROFESIONAL</v>
      </c>
      <c r="C2047" s="25" t="str">
        <f ca="1">IFERROR(__xludf.DUMMYFUNCTION("""COMPUTED_VALUE"""),"COLEGIO DE CONTADORES PÚBLICOS DE HUANCAVELICA")</f>
        <v>COLEGIO DE CONTADORES PÚBLICOS DE HUANCAVELICA</v>
      </c>
      <c r="D2047" s="25" t="str">
        <f ca="1">IFERROR(__xludf.DUMMYFUNCTION("""COMPUTED_VALUE"""),"JUNÍN")</f>
        <v>JUNÍN</v>
      </c>
      <c r="E2047" s="25" t="str">
        <f ca="1">IFERROR(__xludf.DUMMYFUNCTION("""COMPUTED_VALUE"""),"HUANCAVELICA")</f>
        <v>HUANCAVELICA</v>
      </c>
      <c r="F2047" s="25" t="str">
        <f ca="1">IFERROR(__xludf.DUMMYFUNCTION("""COMPUTED_VALUE"""),"HUANCAVELICA")</f>
        <v>HUANCAVELICA</v>
      </c>
      <c r="G2047" s="25" t="str">
        <f ca="1">IFERROR(__xludf.DUMMYFUNCTION("""COMPUTED_VALUE"""),"HUANCAVELICA")</f>
        <v>HUANCAVELICA</v>
      </c>
      <c r="H2047" s="25"/>
      <c r="I2047" s="25" t="str">
        <f ca="1">IFERROR(__xludf.DUMMYFUNCTION("""COMPUTED_VALUE"""),"Prioridad 5")</f>
        <v>Prioridad 5</v>
      </c>
      <c r="J2047" s="43" t="s">
        <v>262</v>
      </c>
    </row>
    <row r="2048" spans="2:10">
      <c r="B2048" s="25" t="str">
        <f ca="1">IFERROR(__xludf.DUMMYFUNCTION("""COMPUTED_VALUE"""),"COLEGIO PROFESIONAL")</f>
        <v>COLEGIO PROFESIONAL</v>
      </c>
      <c r="C2048" s="25" t="str">
        <f ca="1">IFERROR(__xludf.DUMMYFUNCTION("""COMPUTED_VALUE"""),"COLEGIO DE CONTADORES PÚBLICOS DE HUÁNUCO")</f>
        <v>COLEGIO DE CONTADORES PÚBLICOS DE HUÁNUCO</v>
      </c>
      <c r="D2048" s="25" t="str">
        <f ca="1">IFERROR(__xludf.DUMMYFUNCTION("""COMPUTED_VALUE"""),"JUNÍN")</f>
        <v>JUNÍN</v>
      </c>
      <c r="E2048" s="25" t="str">
        <f ca="1">IFERROR(__xludf.DUMMYFUNCTION("""COMPUTED_VALUE"""),"HUÁNUCO")</f>
        <v>HUÁNUCO</v>
      </c>
      <c r="F2048" s="25" t="str">
        <f ca="1">IFERROR(__xludf.DUMMYFUNCTION("""COMPUTED_VALUE"""),"HUÁNUCO")</f>
        <v>HUÁNUCO</v>
      </c>
      <c r="G2048" s="25" t="str">
        <f ca="1">IFERROR(__xludf.DUMMYFUNCTION("""COMPUTED_VALUE"""),"HUANUCO")</f>
        <v>HUANUCO</v>
      </c>
      <c r="H2048" s="25"/>
      <c r="I2048" s="25" t="str">
        <f ca="1">IFERROR(__xludf.DUMMYFUNCTION("""COMPUTED_VALUE"""),"Prioridad 2")</f>
        <v>Prioridad 2</v>
      </c>
      <c r="J2048" s="43" t="s">
        <v>261</v>
      </c>
    </row>
    <row r="2049" spans="2:10">
      <c r="B2049" s="25" t="str">
        <f ca="1">IFERROR(__xludf.DUMMYFUNCTION("""COMPUTED_VALUE"""),"COLEGIO PROFESIONAL")</f>
        <v>COLEGIO PROFESIONAL</v>
      </c>
      <c r="C2049" s="25" t="str">
        <f ca="1">IFERROR(__xludf.DUMMYFUNCTION("""COMPUTED_VALUE"""),"COLEGIO DE CONTADORES PÚBLICOS DE ICA")</f>
        <v>COLEGIO DE CONTADORES PÚBLICOS DE ICA</v>
      </c>
      <c r="D2049" s="25" t="str">
        <f ca="1">IFERROR(__xludf.DUMMYFUNCTION("""COMPUTED_VALUE"""),"ICA")</f>
        <v>ICA</v>
      </c>
      <c r="E2049" s="25" t="str">
        <f ca="1">IFERROR(__xludf.DUMMYFUNCTION("""COMPUTED_VALUE"""),"ICA")</f>
        <v>ICA</v>
      </c>
      <c r="F2049" s="25" t="str">
        <f ca="1">IFERROR(__xludf.DUMMYFUNCTION("""COMPUTED_VALUE"""),"ICA")</f>
        <v>ICA</v>
      </c>
      <c r="G2049" s="25" t="str">
        <f ca="1">IFERROR(__xludf.DUMMYFUNCTION("""COMPUTED_VALUE"""),"ICA")</f>
        <v>ICA</v>
      </c>
      <c r="H2049" s="25"/>
      <c r="I2049" s="25" t="str">
        <f ca="1">IFERROR(__xludf.DUMMYFUNCTION("""COMPUTED_VALUE"""),"Prioridad 4")</f>
        <v>Prioridad 4</v>
      </c>
      <c r="J2049" s="42" t="s">
        <v>260</v>
      </c>
    </row>
    <row r="2050" spans="2:10">
      <c r="B2050" s="25" t="str">
        <f ca="1">IFERROR(__xludf.DUMMYFUNCTION("""COMPUTED_VALUE"""),"COLEGIO PROFESIONAL")</f>
        <v>COLEGIO PROFESIONAL</v>
      </c>
      <c r="C2050" s="25" t="str">
        <f ca="1">IFERROR(__xludf.DUMMYFUNCTION("""COMPUTED_VALUE"""),"COLEGIO DE CONTADORES PÚBLICOS DE JUNÍN")</f>
        <v>COLEGIO DE CONTADORES PÚBLICOS DE JUNÍN</v>
      </c>
      <c r="D2050" s="25" t="str">
        <f ca="1">IFERROR(__xludf.DUMMYFUNCTION("""COMPUTED_VALUE"""),"JUNÍN")</f>
        <v>JUNÍN</v>
      </c>
      <c r="E2050" s="25" t="str">
        <f ca="1">IFERROR(__xludf.DUMMYFUNCTION("""COMPUTED_VALUE"""),"JUNÍN")</f>
        <v>JUNÍN</v>
      </c>
      <c r="F2050" s="25" t="str">
        <f ca="1">IFERROR(__xludf.DUMMYFUNCTION("""COMPUTED_VALUE"""),"HUANCAYO")</f>
        <v>HUANCAYO</v>
      </c>
      <c r="G2050" s="25" t="str">
        <f ca="1">IFERROR(__xludf.DUMMYFUNCTION("""COMPUTED_VALUE"""),"HUANCAYO")</f>
        <v>HUANCAYO</v>
      </c>
      <c r="H2050" s="25"/>
      <c r="I2050" s="25" t="str">
        <f ca="1">IFERROR(__xludf.DUMMYFUNCTION("""COMPUTED_VALUE"""),"Prioridad 2")</f>
        <v>Prioridad 2</v>
      </c>
      <c r="J2050" s="43" t="s">
        <v>262</v>
      </c>
    </row>
    <row r="2051" spans="2:10">
      <c r="B2051" s="25" t="str">
        <f ca="1">IFERROR(__xludf.DUMMYFUNCTION("""COMPUTED_VALUE"""),"COLEGIO PROFESIONAL")</f>
        <v>COLEGIO PROFESIONAL</v>
      </c>
      <c r="C2051" s="25" t="str">
        <f ca="1">IFERROR(__xludf.DUMMYFUNCTION("""COMPUTED_VALUE"""),"COLEGIO DE CONTADORES PÚBLICOS DE LA LIBERTAD")</f>
        <v>COLEGIO DE CONTADORES PÚBLICOS DE LA LIBERTAD</v>
      </c>
      <c r="D2051" s="25" t="str">
        <f ca="1">IFERROR(__xludf.DUMMYFUNCTION("""COMPUTED_VALUE"""),"LA LIBERTAD")</f>
        <v>LA LIBERTAD</v>
      </c>
      <c r="E2051" s="25" t="str">
        <f ca="1">IFERROR(__xludf.DUMMYFUNCTION("""COMPUTED_VALUE"""),"LA LIBERTAD")</f>
        <v>LA LIBERTAD</v>
      </c>
      <c r="F2051" s="25" t="str">
        <f ca="1">IFERROR(__xludf.DUMMYFUNCTION("""COMPUTED_VALUE"""),"TRUJILLO")</f>
        <v>TRUJILLO</v>
      </c>
      <c r="G2051" s="25" t="str">
        <f ca="1">IFERROR(__xludf.DUMMYFUNCTION("""COMPUTED_VALUE"""),"TRUJILLO")</f>
        <v>TRUJILLO</v>
      </c>
      <c r="H2051" s="25"/>
      <c r="I2051" s="25" t="str">
        <f ca="1">IFERROR(__xludf.DUMMYFUNCTION("""COMPUTED_VALUE"""),"Prioridad 1")</f>
        <v>Prioridad 1</v>
      </c>
      <c r="J2051" s="43" t="s">
        <v>261</v>
      </c>
    </row>
    <row r="2052" spans="2:10">
      <c r="B2052" s="25" t="str">
        <f ca="1">IFERROR(__xludf.DUMMYFUNCTION("""COMPUTED_VALUE"""),"COLEGIO PROFESIONAL")</f>
        <v>COLEGIO PROFESIONAL</v>
      </c>
      <c r="C2052" s="25" t="str">
        <f ca="1">IFERROR(__xludf.DUMMYFUNCTION("""COMPUTED_VALUE"""),"COLEGIO DE CONTADORES PÚBLICOS DE LAMBAYEQUE")</f>
        <v>COLEGIO DE CONTADORES PÚBLICOS DE LAMBAYEQUE</v>
      </c>
      <c r="D2052" s="25" t="str">
        <f ca="1">IFERROR(__xludf.DUMMYFUNCTION("""COMPUTED_VALUE"""),"LAMBAYEQUE")</f>
        <v>LAMBAYEQUE</v>
      </c>
      <c r="E2052" s="25" t="str">
        <f ca="1">IFERROR(__xludf.DUMMYFUNCTION("""COMPUTED_VALUE"""),"LAMBAYEQUE")</f>
        <v>LAMBAYEQUE</v>
      </c>
      <c r="F2052" s="25" t="str">
        <f ca="1">IFERROR(__xludf.DUMMYFUNCTION("""COMPUTED_VALUE"""),"CHICLAYO")</f>
        <v>CHICLAYO</v>
      </c>
      <c r="G2052" s="25" t="str">
        <f ca="1">IFERROR(__xludf.DUMMYFUNCTION("""COMPUTED_VALUE"""),"CHICLAYO")</f>
        <v>CHICLAYO</v>
      </c>
      <c r="H2052" s="25"/>
      <c r="I2052" s="25" t="str">
        <f ca="1">IFERROR(__xludf.DUMMYFUNCTION("""COMPUTED_VALUE"""),"Prioridad 1")</f>
        <v>Prioridad 1</v>
      </c>
    </row>
    <row r="2053" spans="2:10">
      <c r="B2053" s="25" t="str">
        <f ca="1">IFERROR(__xludf.DUMMYFUNCTION("""COMPUTED_VALUE"""),"COLEGIO PROFESIONAL")</f>
        <v>COLEGIO PROFESIONAL</v>
      </c>
      <c r="C2053" s="25" t="str">
        <f ca="1">IFERROR(__xludf.DUMMYFUNCTION("""COMPUTED_VALUE"""),"COLEGIO DE CONTADORES PÚBLICOS DE LORETO")</f>
        <v>COLEGIO DE CONTADORES PÚBLICOS DE LORETO</v>
      </c>
      <c r="D2053" s="25" t="str">
        <f ca="1">IFERROR(__xludf.DUMMYFUNCTION("""COMPUTED_VALUE"""),"LORETO")</f>
        <v>LORETO</v>
      </c>
      <c r="E2053" s="25" t="str">
        <f ca="1">IFERROR(__xludf.DUMMYFUNCTION("""COMPUTED_VALUE"""),"LORETO")</f>
        <v>LORETO</v>
      </c>
      <c r="F2053" s="25" t="str">
        <f ca="1">IFERROR(__xludf.DUMMYFUNCTION("""COMPUTED_VALUE"""),"MAYNAS")</f>
        <v>MAYNAS</v>
      </c>
      <c r="G2053" s="25" t="str">
        <f ca="1">IFERROR(__xludf.DUMMYFUNCTION("""COMPUTED_VALUE"""),"IQUITOS")</f>
        <v>IQUITOS</v>
      </c>
      <c r="H2053" s="25"/>
      <c r="I2053" s="25" t="str">
        <f ca="1">IFERROR(__xludf.DUMMYFUNCTION("""COMPUTED_VALUE"""),"Prioridad 2")</f>
        <v>Prioridad 2</v>
      </c>
    </row>
    <row r="2054" spans="2:10">
      <c r="B2054" s="25" t="str">
        <f ca="1">IFERROR(__xludf.DUMMYFUNCTION("""COMPUTED_VALUE"""),"COLEGIO PROFESIONAL")</f>
        <v>COLEGIO PROFESIONAL</v>
      </c>
      <c r="C2054" s="25" t="str">
        <f ca="1">IFERROR(__xludf.DUMMYFUNCTION("""COMPUTED_VALUE"""),"COLEGIO DE CONTADORES PÚBLICOS DE MADRE DE DIOS")</f>
        <v>COLEGIO DE CONTADORES PÚBLICOS DE MADRE DE DIOS</v>
      </c>
      <c r="D2054" s="25" t="str">
        <f ca="1">IFERROR(__xludf.DUMMYFUNCTION("""COMPUTED_VALUE"""),"CUZCO")</f>
        <v>CUZCO</v>
      </c>
      <c r="E2054" s="25" t="str">
        <f ca="1">IFERROR(__xludf.DUMMYFUNCTION("""COMPUTED_VALUE"""),"MADRE DE DIOS")</f>
        <v>MADRE DE DIOS</v>
      </c>
      <c r="F2054" s="25" t="str">
        <f ca="1">IFERROR(__xludf.DUMMYFUNCTION("""COMPUTED_VALUE"""),"TAMBOPATA")</f>
        <v>TAMBOPATA</v>
      </c>
      <c r="G2054" s="25" t="str">
        <f ca="1">IFERROR(__xludf.DUMMYFUNCTION("""COMPUTED_VALUE"""),"TAMBOPATA")</f>
        <v>TAMBOPATA</v>
      </c>
      <c r="H2054" s="25"/>
      <c r="I2054" s="25" t="str">
        <f ca="1">IFERROR(__xludf.DUMMYFUNCTION("""COMPUTED_VALUE"""),"Prioridad 5")</f>
        <v>Prioridad 5</v>
      </c>
    </row>
    <row r="2055" spans="2:10">
      <c r="B2055" s="25" t="str">
        <f ca="1">IFERROR(__xludf.DUMMYFUNCTION("""COMPUTED_VALUE"""),"COLEGIO PROFESIONAL")</f>
        <v>COLEGIO PROFESIONAL</v>
      </c>
      <c r="C2055" s="25" t="str">
        <f ca="1">IFERROR(__xludf.DUMMYFUNCTION("""COMPUTED_VALUE"""),"COLEGIO DE CONTADORES PÚBLICOS DE MOQUEGUA")</f>
        <v>COLEGIO DE CONTADORES PÚBLICOS DE MOQUEGUA</v>
      </c>
      <c r="D2055" s="25" t="str">
        <f ca="1">IFERROR(__xludf.DUMMYFUNCTION("""COMPUTED_VALUE"""),"TACNA")</f>
        <v>TACNA</v>
      </c>
      <c r="E2055" s="25" t="str">
        <f ca="1">IFERROR(__xludf.DUMMYFUNCTION("""COMPUTED_VALUE"""),"MOQUEGUA")</f>
        <v>MOQUEGUA</v>
      </c>
      <c r="F2055" s="25" t="str">
        <f ca="1">IFERROR(__xludf.DUMMYFUNCTION("""COMPUTED_VALUE"""),"MARISCAL NIETO")</f>
        <v>MARISCAL NIETO</v>
      </c>
      <c r="G2055" s="25" t="str">
        <f ca="1">IFERROR(__xludf.DUMMYFUNCTION("""COMPUTED_VALUE"""),"MOQUEGUA")</f>
        <v>MOQUEGUA</v>
      </c>
      <c r="H2055" s="25"/>
      <c r="I2055" s="25" t="str">
        <f ca="1">IFERROR(__xludf.DUMMYFUNCTION("""COMPUTED_VALUE"""),"Prioridad 4")</f>
        <v>Prioridad 4</v>
      </c>
    </row>
    <row r="2056" spans="2:10">
      <c r="B2056" s="25" t="str">
        <f ca="1">IFERROR(__xludf.DUMMYFUNCTION("""COMPUTED_VALUE"""),"COLEGIO PROFESIONAL")</f>
        <v>COLEGIO PROFESIONAL</v>
      </c>
      <c r="C2056" s="25" t="str">
        <f ca="1">IFERROR(__xludf.DUMMYFUNCTION("""COMPUTED_VALUE"""),"COLEGIO DE CONTADORES PÚBLICOS DE PASCO")</f>
        <v>COLEGIO DE CONTADORES PÚBLICOS DE PASCO</v>
      </c>
      <c r="D2056" s="25" t="str">
        <f ca="1">IFERROR(__xludf.DUMMYFUNCTION("""COMPUTED_VALUE"""),"JUNÍN")</f>
        <v>JUNÍN</v>
      </c>
      <c r="E2056" s="25" t="str">
        <f ca="1">IFERROR(__xludf.DUMMYFUNCTION("""COMPUTED_VALUE"""),"PASCO")</f>
        <v>PASCO</v>
      </c>
      <c r="F2056" s="25" t="str">
        <f ca="1">IFERROR(__xludf.DUMMYFUNCTION("""COMPUTED_VALUE"""),"PASCO")</f>
        <v>PASCO</v>
      </c>
      <c r="G2056" s="25" t="str">
        <f ca="1">IFERROR(__xludf.DUMMYFUNCTION("""COMPUTED_VALUE"""),"YANACANCHA")</f>
        <v>YANACANCHA</v>
      </c>
      <c r="H2056" s="25"/>
      <c r="I2056" s="25" t="str">
        <f ca="1">IFERROR(__xludf.DUMMYFUNCTION("""COMPUTED_VALUE"""),"Prioridad 3")</f>
        <v>Prioridad 3</v>
      </c>
    </row>
    <row r="2057" spans="2:10">
      <c r="B2057" s="25" t="str">
        <f ca="1">IFERROR(__xludf.DUMMYFUNCTION("""COMPUTED_VALUE"""),"COLEGIO PROFESIONAL")</f>
        <v>COLEGIO PROFESIONAL</v>
      </c>
      <c r="C2057" s="25" t="str">
        <f ca="1">IFERROR(__xludf.DUMMYFUNCTION("""COMPUTED_VALUE"""),"COLEGIO DE CONTADORES PÚBLICOS DE PIURA")</f>
        <v>COLEGIO DE CONTADORES PÚBLICOS DE PIURA</v>
      </c>
      <c r="D2057" s="25" t="str">
        <f ca="1">IFERROR(__xludf.DUMMYFUNCTION("""COMPUTED_VALUE"""),"PIURA")</f>
        <v>PIURA</v>
      </c>
      <c r="E2057" s="25" t="str">
        <f ca="1">IFERROR(__xludf.DUMMYFUNCTION("""COMPUTED_VALUE"""),"PIURA")</f>
        <v>PIURA</v>
      </c>
      <c r="F2057" s="25" t="str">
        <f ca="1">IFERROR(__xludf.DUMMYFUNCTION("""COMPUTED_VALUE"""),"PIURA")</f>
        <v>PIURA</v>
      </c>
      <c r="G2057" s="25" t="str">
        <f ca="1">IFERROR(__xludf.DUMMYFUNCTION("""COMPUTED_VALUE"""),"PIURA")</f>
        <v>PIURA</v>
      </c>
      <c r="H2057" s="25"/>
      <c r="I2057" s="25" t="str">
        <f ca="1">IFERROR(__xludf.DUMMYFUNCTION("""COMPUTED_VALUE"""),"Prioridad 3")</f>
        <v>Prioridad 3</v>
      </c>
    </row>
    <row r="2058" spans="2:10">
      <c r="B2058" s="25" t="str">
        <f ca="1">IFERROR(__xludf.DUMMYFUNCTION("""COMPUTED_VALUE"""),"COLEGIO PROFESIONAL")</f>
        <v>COLEGIO PROFESIONAL</v>
      </c>
      <c r="C2058" s="25" t="str">
        <f ca="1">IFERROR(__xludf.DUMMYFUNCTION("""COMPUTED_VALUE"""),"COLEGIO DE CONTADORES PÚBLICOS DE PUNO")</f>
        <v>COLEGIO DE CONTADORES PÚBLICOS DE PUNO</v>
      </c>
      <c r="D2058" s="25" t="str">
        <f ca="1">IFERROR(__xludf.DUMMYFUNCTION("""COMPUTED_VALUE"""),"PUNO")</f>
        <v>PUNO</v>
      </c>
      <c r="E2058" s="25" t="str">
        <f ca="1">IFERROR(__xludf.DUMMYFUNCTION("""COMPUTED_VALUE"""),"PUNO")</f>
        <v>PUNO</v>
      </c>
      <c r="F2058" s="25" t="str">
        <f ca="1">IFERROR(__xludf.DUMMYFUNCTION("""COMPUTED_VALUE"""),"PUNO")</f>
        <v>PUNO</v>
      </c>
      <c r="G2058" s="25" t="str">
        <f ca="1">IFERROR(__xludf.DUMMYFUNCTION("""COMPUTED_VALUE"""),"PUNO")</f>
        <v>PUNO</v>
      </c>
      <c r="H2058" s="25"/>
      <c r="I2058" s="25" t="str">
        <f ca="1">IFERROR(__xludf.DUMMYFUNCTION("""COMPUTED_VALUE"""),"Prioridad 1")</f>
        <v>Prioridad 1</v>
      </c>
    </row>
    <row r="2059" spans="2:10">
      <c r="B2059" s="25" t="str">
        <f ca="1">IFERROR(__xludf.DUMMYFUNCTION("""COMPUTED_VALUE"""),"COLEGIO PROFESIONAL")</f>
        <v>COLEGIO PROFESIONAL</v>
      </c>
      <c r="C2059" s="25" t="str">
        <f ca="1">IFERROR(__xludf.DUMMYFUNCTION("""COMPUTED_VALUE"""),"COLEGIO DE CONTADORES PÚBLICOS DE SAN MARTÍN")</f>
        <v>COLEGIO DE CONTADORES PÚBLICOS DE SAN MARTÍN</v>
      </c>
      <c r="D2059" s="25" t="str">
        <f ca="1">IFERROR(__xludf.DUMMYFUNCTION("""COMPUTED_VALUE"""),"SAN MARTÍN")</f>
        <v>SAN MARTÍN</v>
      </c>
      <c r="E2059" s="25" t="str">
        <f ca="1">IFERROR(__xludf.DUMMYFUNCTION("""COMPUTED_VALUE"""),"SAN MARTÍN")</f>
        <v>SAN MARTÍN</v>
      </c>
      <c r="F2059" s="25" t="str">
        <f ca="1">IFERROR(__xludf.DUMMYFUNCTION("""COMPUTED_VALUE"""),"SAN MARTIN")</f>
        <v>SAN MARTIN</v>
      </c>
      <c r="G2059" s="25" t="str">
        <f ca="1">IFERROR(__xludf.DUMMYFUNCTION("""COMPUTED_VALUE"""),"SAN MARTIN")</f>
        <v>SAN MARTIN</v>
      </c>
      <c r="H2059" s="25"/>
      <c r="I2059" s="25" t="str">
        <f ca="1">IFERROR(__xludf.DUMMYFUNCTION("""COMPUTED_VALUE"""),"Prioridad 4")</f>
        <v>Prioridad 4</v>
      </c>
    </row>
    <row r="2060" spans="2:10">
      <c r="B2060" s="25" t="str">
        <f ca="1">IFERROR(__xludf.DUMMYFUNCTION("""COMPUTED_VALUE"""),"COLEGIO PROFESIONAL")</f>
        <v>COLEGIO PROFESIONAL</v>
      </c>
      <c r="C2060" s="25" t="str">
        <f ca="1">IFERROR(__xludf.DUMMYFUNCTION("""COMPUTED_VALUE"""),"COLEGIO DE CONTADORES PÚBLICOS DE TACNA")</f>
        <v>COLEGIO DE CONTADORES PÚBLICOS DE TACNA</v>
      </c>
      <c r="D2060" s="25" t="str">
        <f ca="1">IFERROR(__xludf.DUMMYFUNCTION("""COMPUTED_VALUE"""),"TACNA")</f>
        <v>TACNA</v>
      </c>
      <c r="E2060" s="25" t="str">
        <f ca="1">IFERROR(__xludf.DUMMYFUNCTION("""COMPUTED_VALUE"""),"TACNA")</f>
        <v>TACNA</v>
      </c>
      <c r="F2060" s="25" t="str">
        <f ca="1">IFERROR(__xludf.DUMMYFUNCTION("""COMPUTED_VALUE"""),"TACNA")</f>
        <v>TACNA</v>
      </c>
      <c r="G2060" s="25" t="str">
        <f ca="1">IFERROR(__xludf.DUMMYFUNCTION("""COMPUTED_VALUE"""),"TACNA")</f>
        <v>TACNA</v>
      </c>
      <c r="H2060" s="25"/>
      <c r="I2060" s="25" t="str">
        <f ca="1">IFERROR(__xludf.DUMMYFUNCTION("""COMPUTED_VALUE"""),"Prioridad 2")</f>
        <v>Prioridad 2</v>
      </c>
    </row>
    <row r="2061" spans="2:10">
      <c r="B2061" s="25" t="str">
        <f ca="1">IFERROR(__xludf.DUMMYFUNCTION("""COMPUTED_VALUE"""),"COLEGIO PROFESIONAL")</f>
        <v>COLEGIO PROFESIONAL</v>
      </c>
      <c r="C2061" s="25" t="str">
        <f ca="1">IFERROR(__xludf.DUMMYFUNCTION("""COMPUTED_VALUE"""),"COLEGIO DE CONTADORES PÚBLICOS DE TUMBES")</f>
        <v>COLEGIO DE CONTADORES PÚBLICOS DE TUMBES</v>
      </c>
      <c r="D2061" s="25" t="str">
        <f ca="1">IFERROR(__xludf.DUMMYFUNCTION("""COMPUTED_VALUE"""),"PIURA")</f>
        <v>PIURA</v>
      </c>
      <c r="E2061" s="25" t="str">
        <f ca="1">IFERROR(__xludf.DUMMYFUNCTION("""COMPUTED_VALUE"""),"TUMBES")</f>
        <v>TUMBES</v>
      </c>
      <c r="F2061" s="25" t="str">
        <f ca="1">IFERROR(__xludf.DUMMYFUNCTION("""COMPUTED_VALUE"""),"TUMBES")</f>
        <v>TUMBES</v>
      </c>
      <c r="G2061" s="25" t="str">
        <f ca="1">IFERROR(__xludf.DUMMYFUNCTION("""COMPUTED_VALUE"""),"TUMBES")</f>
        <v>TUMBES</v>
      </c>
      <c r="H2061" s="25"/>
      <c r="I2061" s="25" t="str">
        <f ca="1">IFERROR(__xludf.DUMMYFUNCTION("""COMPUTED_VALUE"""),"Prioridad 3")</f>
        <v>Prioridad 3</v>
      </c>
    </row>
    <row r="2062" spans="2:10">
      <c r="B2062" s="25" t="str">
        <f ca="1">IFERROR(__xludf.DUMMYFUNCTION("""COMPUTED_VALUE"""),"COLEGIO PROFESIONAL")</f>
        <v>COLEGIO PROFESIONAL</v>
      </c>
      <c r="C2062" s="25" t="str">
        <f ca="1">IFERROR(__xludf.DUMMYFUNCTION("""COMPUTED_VALUE"""),"COLEGIO DE CONTADORES PÚBLICOS DE UCAYALI")</f>
        <v>COLEGIO DE CONTADORES PÚBLICOS DE UCAYALI</v>
      </c>
      <c r="D2062" s="25" t="str">
        <f ca="1">IFERROR(__xludf.DUMMYFUNCTION("""COMPUTED_VALUE"""),"LORETO")</f>
        <v>LORETO</v>
      </c>
      <c r="E2062" s="25" t="str">
        <f ca="1">IFERROR(__xludf.DUMMYFUNCTION("""COMPUTED_VALUE"""),"UCAYALI")</f>
        <v>UCAYALI</v>
      </c>
      <c r="F2062" s="25" t="str">
        <f ca="1">IFERROR(__xludf.DUMMYFUNCTION("""COMPUTED_VALUE"""),"CORONEL PORTILLO")</f>
        <v>CORONEL PORTILLO</v>
      </c>
      <c r="G2062" s="25" t="str">
        <f ca="1">IFERROR(__xludf.DUMMYFUNCTION("""COMPUTED_VALUE"""),"CALLERIA")</f>
        <v>CALLERIA</v>
      </c>
      <c r="H2062" s="25"/>
      <c r="I2062" s="25" t="str">
        <f ca="1">IFERROR(__xludf.DUMMYFUNCTION("""COMPUTED_VALUE"""),"Prioridad 2")</f>
        <v>Prioridad 2</v>
      </c>
    </row>
    <row r="2063" spans="2:10">
      <c r="B2063" s="25" t="str">
        <f ca="1">IFERROR(__xludf.DUMMYFUNCTION("""COMPUTED_VALUE"""),"COLEGIO PROFESIONAL")</f>
        <v>COLEGIO PROFESIONAL</v>
      </c>
      <c r="C2063" s="25" t="str">
        <f ca="1">IFERROR(__xludf.DUMMYFUNCTION("""COMPUTED_VALUE"""),"COLEGIO DE ABOGADOS DE AYACUCHO")</f>
        <v>COLEGIO DE ABOGADOS DE AYACUCHO</v>
      </c>
      <c r="D2063" s="25" t="str">
        <f ca="1">IFERROR(__xludf.DUMMYFUNCTION("""COMPUTED_VALUE"""),"ICA")</f>
        <v>ICA</v>
      </c>
      <c r="E2063" s="25" t="str">
        <f ca="1">IFERROR(__xludf.DUMMYFUNCTION("""COMPUTED_VALUE"""),"AYACUCHO")</f>
        <v>AYACUCHO</v>
      </c>
      <c r="F2063" s="25" t="str">
        <f ca="1">IFERROR(__xludf.DUMMYFUNCTION("""COMPUTED_VALUE"""),"HUAMANGA")</f>
        <v>HUAMANGA</v>
      </c>
      <c r="G2063" s="25" t="str">
        <f ca="1">IFERROR(__xludf.DUMMYFUNCTION("""COMPUTED_VALUE"""),"AYACUCHO")</f>
        <v>AYACUCHO</v>
      </c>
      <c r="H2063" s="25"/>
      <c r="I2063" s="25" t="str">
        <f ca="1">IFERROR(__xludf.DUMMYFUNCTION("""COMPUTED_VALUE"""),"Prioridad 4")</f>
        <v>Prioridad 4</v>
      </c>
    </row>
    <row r="2064" spans="2:10">
      <c r="B2064" s="25" t="str">
        <f ca="1">IFERROR(__xludf.DUMMYFUNCTION("""COMPUTED_VALUE"""),"COLEGIO PROFESIONAL")</f>
        <v>COLEGIO PROFESIONAL</v>
      </c>
      <c r="C2064" s="25" t="str">
        <f ca="1">IFERROR(__xludf.DUMMYFUNCTION("""COMPUTED_VALUE"""),"COLEGIO DE ABOGADOS DE CAJAMARCA")</f>
        <v>COLEGIO DE ABOGADOS DE CAJAMARCA</v>
      </c>
      <c r="D2064" s="25" t="str">
        <f ca="1">IFERROR(__xludf.DUMMYFUNCTION("""COMPUTED_VALUE"""),"CAJAMARCA")</f>
        <v>CAJAMARCA</v>
      </c>
      <c r="E2064" s="25" t="str">
        <f ca="1">IFERROR(__xludf.DUMMYFUNCTION("""COMPUTED_VALUE"""),"CAJAMARCA")</f>
        <v>CAJAMARCA</v>
      </c>
      <c r="F2064" s="25" t="str">
        <f ca="1">IFERROR(__xludf.DUMMYFUNCTION("""COMPUTED_VALUE"""),"CAJAMARCA")</f>
        <v>CAJAMARCA</v>
      </c>
      <c r="G2064" s="25" t="str">
        <f ca="1">IFERROR(__xludf.DUMMYFUNCTION("""COMPUTED_VALUE"""),"CAJAMARCA")</f>
        <v>CAJAMARCA</v>
      </c>
      <c r="H2064" s="25"/>
      <c r="I2064" s="25" t="str">
        <f ca="1">IFERROR(__xludf.DUMMYFUNCTION("""COMPUTED_VALUE"""),"Prioridad 2")</f>
        <v>Prioridad 2</v>
      </c>
    </row>
    <row r="2065" spans="2:9">
      <c r="B2065" s="25" t="str">
        <f ca="1">IFERROR(__xludf.DUMMYFUNCTION("""COMPUTED_VALUE"""),"COLEGIO PROFESIONAL")</f>
        <v>COLEGIO PROFESIONAL</v>
      </c>
      <c r="C2065" s="25" t="str">
        <f ca="1">IFERROR(__xludf.DUMMYFUNCTION("""COMPUTED_VALUE"""),"COLEGIO DE ABOGADOS DE CUSCO")</f>
        <v>COLEGIO DE ABOGADOS DE CUSCO</v>
      </c>
      <c r="D2065" s="25" t="str">
        <f ca="1">IFERROR(__xludf.DUMMYFUNCTION("""COMPUTED_VALUE"""),"CUZCO")</f>
        <v>CUZCO</v>
      </c>
      <c r="E2065" s="25" t="str">
        <f ca="1">IFERROR(__xludf.DUMMYFUNCTION("""COMPUTED_VALUE"""),"CUZCO")</f>
        <v>CUZCO</v>
      </c>
      <c r="F2065" s="25" t="str">
        <f ca="1">IFERROR(__xludf.DUMMYFUNCTION("""COMPUTED_VALUE"""),"CUZCO")</f>
        <v>CUZCO</v>
      </c>
      <c r="G2065" s="25" t="str">
        <f ca="1">IFERROR(__xludf.DUMMYFUNCTION("""COMPUTED_VALUE"""),"SAN SEBASTIAN")</f>
        <v>SAN SEBASTIAN</v>
      </c>
      <c r="H2065" s="25"/>
      <c r="I2065" s="25" t="str">
        <f ca="1">IFERROR(__xludf.DUMMYFUNCTION("""COMPUTED_VALUE"""),"Prioridad 1")</f>
        <v>Prioridad 1</v>
      </c>
    </row>
    <row r="2066" spans="2:9">
      <c r="B2066" s="25" t="str">
        <f ca="1">IFERROR(__xludf.DUMMYFUNCTION("""COMPUTED_VALUE"""),"COLEGIO PROFESIONAL")</f>
        <v>COLEGIO PROFESIONAL</v>
      </c>
      <c r="C2066" s="25" t="str">
        <f ca="1">IFERROR(__xludf.DUMMYFUNCTION("""COMPUTED_VALUE"""),"COLEGIO DE ABOGADOS DE HUANCAVELICA")</f>
        <v>COLEGIO DE ABOGADOS DE HUANCAVELICA</v>
      </c>
      <c r="D2066" s="25" t="str">
        <f ca="1">IFERROR(__xludf.DUMMYFUNCTION("""COMPUTED_VALUE"""),"JUNÍN")</f>
        <v>JUNÍN</v>
      </c>
      <c r="E2066" s="25" t="str">
        <f ca="1">IFERROR(__xludf.DUMMYFUNCTION("""COMPUTED_VALUE"""),"HUANCAVELICA")</f>
        <v>HUANCAVELICA</v>
      </c>
      <c r="F2066" s="25" t="str">
        <f ca="1">IFERROR(__xludf.DUMMYFUNCTION("""COMPUTED_VALUE"""),"HUANCAVELICA")</f>
        <v>HUANCAVELICA</v>
      </c>
      <c r="G2066" s="25" t="str">
        <f ca="1">IFERROR(__xludf.DUMMYFUNCTION("""COMPUTED_VALUE"""),"HUANCAVELICA")</f>
        <v>HUANCAVELICA</v>
      </c>
      <c r="H2066" s="25"/>
      <c r="I2066" s="25" t="str">
        <f ca="1">IFERROR(__xludf.DUMMYFUNCTION("""COMPUTED_VALUE"""),"Prioridad 5")</f>
        <v>Prioridad 5</v>
      </c>
    </row>
    <row r="2067" spans="2:9">
      <c r="B2067" s="25" t="str">
        <f ca="1">IFERROR(__xludf.DUMMYFUNCTION("""COMPUTED_VALUE"""),"COLEGIO PROFESIONAL")</f>
        <v>COLEGIO PROFESIONAL</v>
      </c>
      <c r="C2067" s="25" t="str">
        <f ca="1">IFERROR(__xludf.DUMMYFUNCTION("""COMPUTED_VALUE"""),"COLEGIO DE ABOGADOS DE HUÁNUCO")</f>
        <v>COLEGIO DE ABOGADOS DE HUÁNUCO</v>
      </c>
      <c r="D2067" s="25" t="str">
        <f ca="1">IFERROR(__xludf.DUMMYFUNCTION("""COMPUTED_VALUE"""),"JUNÍN")</f>
        <v>JUNÍN</v>
      </c>
      <c r="E2067" s="25" t="str">
        <f ca="1">IFERROR(__xludf.DUMMYFUNCTION("""COMPUTED_VALUE"""),"HUÁNUCO")</f>
        <v>HUÁNUCO</v>
      </c>
      <c r="F2067" s="25" t="str">
        <f ca="1">IFERROR(__xludf.DUMMYFUNCTION("""COMPUTED_VALUE"""),"HUÁNUCO")</f>
        <v>HUÁNUCO</v>
      </c>
      <c r="G2067" s="25" t="str">
        <f ca="1">IFERROR(__xludf.DUMMYFUNCTION("""COMPUTED_VALUE"""),"HUANUCO")</f>
        <v>HUANUCO</v>
      </c>
      <c r="H2067" s="25"/>
      <c r="I2067" s="25" t="str">
        <f ca="1">IFERROR(__xludf.DUMMYFUNCTION("""COMPUTED_VALUE"""),"Prioridad 2")</f>
        <v>Prioridad 2</v>
      </c>
    </row>
    <row r="2068" spans="2:9">
      <c r="B2068" s="25" t="str">
        <f ca="1">IFERROR(__xludf.DUMMYFUNCTION("""COMPUTED_VALUE"""),"COLEGIO PROFESIONAL")</f>
        <v>COLEGIO PROFESIONAL</v>
      </c>
      <c r="C2068" s="25" t="str">
        <f ca="1">IFERROR(__xludf.DUMMYFUNCTION("""COMPUTED_VALUE"""),"COLEGIO DE ABOGADOS DE ICA")</f>
        <v>COLEGIO DE ABOGADOS DE ICA</v>
      </c>
      <c r="D2068" s="25" t="str">
        <f ca="1">IFERROR(__xludf.DUMMYFUNCTION("""COMPUTED_VALUE"""),"ICA")</f>
        <v>ICA</v>
      </c>
      <c r="E2068" s="25" t="str">
        <f ca="1">IFERROR(__xludf.DUMMYFUNCTION("""COMPUTED_VALUE"""),"ICA")</f>
        <v>ICA</v>
      </c>
      <c r="F2068" s="25" t="str">
        <f ca="1">IFERROR(__xludf.DUMMYFUNCTION("""COMPUTED_VALUE"""),"ICA")</f>
        <v>ICA</v>
      </c>
      <c r="G2068" s="25" t="str">
        <f ca="1">IFERROR(__xludf.DUMMYFUNCTION("""COMPUTED_VALUE"""),"ICA")</f>
        <v>ICA</v>
      </c>
      <c r="H2068" s="25"/>
      <c r="I2068" s="25" t="str">
        <f ca="1">IFERROR(__xludf.DUMMYFUNCTION("""COMPUTED_VALUE"""),"Prioridad 3")</f>
        <v>Prioridad 3</v>
      </c>
    </row>
    <row r="2069" spans="2:9">
      <c r="B2069" s="25" t="str">
        <f ca="1">IFERROR(__xludf.DUMMYFUNCTION("""COMPUTED_VALUE"""),"COLEGIO PROFESIONAL")</f>
        <v>COLEGIO PROFESIONAL</v>
      </c>
      <c r="C2069" s="25" t="str">
        <f ca="1">IFERROR(__xludf.DUMMYFUNCTION("""COMPUTED_VALUE"""),"COLEGIO DE ABOGADOS DE SELVA CENTRAL")</f>
        <v>COLEGIO DE ABOGADOS DE SELVA CENTRAL</v>
      </c>
      <c r="D2069" s="25" t="str">
        <f ca="1">IFERROR(__xludf.DUMMYFUNCTION("""COMPUTED_VALUE"""),"JUNÍN")</f>
        <v>JUNÍN</v>
      </c>
      <c r="E2069" s="25" t="str">
        <f ca="1">IFERROR(__xludf.DUMMYFUNCTION("""COMPUTED_VALUE"""),"JUNÍN")</f>
        <v>JUNÍN</v>
      </c>
      <c r="F2069" s="25" t="str">
        <f ca="1">IFERROR(__xludf.DUMMYFUNCTION("""COMPUTED_VALUE"""),"CHANCHAMAYO")</f>
        <v>CHANCHAMAYO</v>
      </c>
      <c r="G2069" s="25" t="str">
        <f ca="1">IFERROR(__xludf.DUMMYFUNCTION("""COMPUTED_VALUE"""),"CHANCHAMAYO")</f>
        <v>CHANCHAMAYO</v>
      </c>
      <c r="H2069" s="25"/>
      <c r="I2069" s="25" t="str">
        <f ca="1">IFERROR(__xludf.DUMMYFUNCTION("""COMPUTED_VALUE"""),"Prioridad 1")</f>
        <v>Prioridad 1</v>
      </c>
    </row>
    <row r="2070" spans="2:9">
      <c r="B2070" s="25" t="str">
        <f ca="1">IFERROR(__xludf.DUMMYFUNCTION("""COMPUTED_VALUE"""),"COLEGIO PROFESIONAL")</f>
        <v>COLEGIO PROFESIONAL</v>
      </c>
      <c r="C2070" s="25" t="str">
        <f ca="1">IFERROR(__xludf.DUMMYFUNCTION("""COMPUTED_VALUE"""),"COLEGIO DE ABOGADOS DE JUNÍN")</f>
        <v>COLEGIO DE ABOGADOS DE JUNÍN</v>
      </c>
      <c r="D2070" s="25" t="str">
        <f ca="1">IFERROR(__xludf.DUMMYFUNCTION("""COMPUTED_VALUE"""),"JUNÍN")</f>
        <v>JUNÍN</v>
      </c>
      <c r="E2070" s="25" t="str">
        <f ca="1">IFERROR(__xludf.DUMMYFUNCTION("""COMPUTED_VALUE"""),"JUNÍN")</f>
        <v>JUNÍN</v>
      </c>
      <c r="F2070" s="25" t="str">
        <f ca="1">IFERROR(__xludf.DUMMYFUNCTION("""COMPUTED_VALUE"""),"HUANCAYO")</f>
        <v>HUANCAYO</v>
      </c>
      <c r="G2070" s="25" t="str">
        <f ca="1">IFERROR(__xludf.DUMMYFUNCTION("""COMPUTED_VALUE"""),"HUANCAYO")</f>
        <v>HUANCAYO</v>
      </c>
      <c r="H2070" s="25"/>
      <c r="I2070" s="25" t="str">
        <f ca="1">IFERROR(__xludf.DUMMYFUNCTION("""COMPUTED_VALUE"""),"Prioridad 2")</f>
        <v>Prioridad 2</v>
      </c>
    </row>
    <row r="2071" spans="2:9">
      <c r="B2071" s="25" t="str">
        <f ca="1">IFERROR(__xludf.DUMMYFUNCTION("""COMPUTED_VALUE"""),"COLEGIO PROFESIONAL")</f>
        <v>COLEGIO PROFESIONAL</v>
      </c>
      <c r="C2071" s="25" t="str">
        <f ca="1">IFERROR(__xludf.DUMMYFUNCTION("""COMPUTED_VALUE"""),"COLEGIO DE ABOGADOS DE LA LIBERTAD")</f>
        <v>COLEGIO DE ABOGADOS DE LA LIBERTAD</v>
      </c>
      <c r="D2071" s="25" t="str">
        <f ca="1">IFERROR(__xludf.DUMMYFUNCTION("""COMPUTED_VALUE"""),"LA LIBERTAD")</f>
        <v>LA LIBERTAD</v>
      </c>
      <c r="E2071" s="25" t="str">
        <f ca="1">IFERROR(__xludf.DUMMYFUNCTION("""COMPUTED_VALUE"""),"LA LIBERTAD")</f>
        <v>LA LIBERTAD</v>
      </c>
      <c r="F2071" s="25" t="str">
        <f ca="1">IFERROR(__xludf.DUMMYFUNCTION("""COMPUTED_VALUE"""),"TRUJILLO")</f>
        <v>TRUJILLO</v>
      </c>
      <c r="G2071" s="25" t="str">
        <f ca="1">IFERROR(__xludf.DUMMYFUNCTION("""COMPUTED_VALUE"""),"TRUJILLO")</f>
        <v>TRUJILLO</v>
      </c>
      <c r="H2071" s="25"/>
      <c r="I2071" s="25" t="str">
        <f ca="1">IFERROR(__xludf.DUMMYFUNCTION("""COMPUTED_VALUE"""),"Prioridad 1")</f>
        <v>Prioridad 1</v>
      </c>
    </row>
    <row r="2072" spans="2:9">
      <c r="B2072" s="25" t="str">
        <f ca="1">IFERROR(__xludf.DUMMYFUNCTION("""COMPUTED_VALUE"""),"COLEGIO PROFESIONAL")</f>
        <v>COLEGIO PROFESIONAL</v>
      </c>
      <c r="C2072" s="25" t="str">
        <f ca="1">IFERROR(__xludf.DUMMYFUNCTION("""COMPUTED_VALUE"""),"COLEGIO DE ABOGADOS DE LAMBAYEQUE")</f>
        <v>COLEGIO DE ABOGADOS DE LAMBAYEQUE</v>
      </c>
      <c r="D2072" s="25" t="str">
        <f ca="1">IFERROR(__xludf.DUMMYFUNCTION("""COMPUTED_VALUE"""),"LAMBAYEQUE")</f>
        <v>LAMBAYEQUE</v>
      </c>
      <c r="E2072" s="25" t="str">
        <f ca="1">IFERROR(__xludf.DUMMYFUNCTION("""COMPUTED_VALUE"""),"LAMBAYEQUE")</f>
        <v>LAMBAYEQUE</v>
      </c>
      <c r="F2072" s="25" t="str">
        <f ca="1">IFERROR(__xludf.DUMMYFUNCTION("""COMPUTED_VALUE"""),"CHICLAYO")</f>
        <v>CHICLAYO</v>
      </c>
      <c r="G2072" s="25" t="str">
        <f ca="1">IFERROR(__xludf.DUMMYFUNCTION("""COMPUTED_VALUE"""),"CHICLAYO")</f>
        <v>CHICLAYO</v>
      </c>
      <c r="H2072" s="25"/>
      <c r="I2072" s="25" t="str">
        <f ca="1">IFERROR(__xludf.DUMMYFUNCTION("""COMPUTED_VALUE"""),"Prioridad 1")</f>
        <v>Prioridad 1</v>
      </c>
    </row>
    <row r="2073" spans="2:9">
      <c r="B2073" s="25" t="str">
        <f ca="1">IFERROR(__xludf.DUMMYFUNCTION("""COMPUTED_VALUE"""),"COLEGIO PROFESIONAL")</f>
        <v>COLEGIO PROFESIONAL</v>
      </c>
      <c r="C2073" s="25" t="str">
        <f ca="1">IFERROR(__xludf.DUMMYFUNCTION("""COMPUTED_VALUE"""),"COLEGIO DE ABOGADOS DE LORETO")</f>
        <v>COLEGIO DE ABOGADOS DE LORETO</v>
      </c>
      <c r="D2073" s="25" t="str">
        <f ca="1">IFERROR(__xludf.DUMMYFUNCTION("""COMPUTED_VALUE"""),"LORETO")</f>
        <v>LORETO</v>
      </c>
      <c r="E2073" s="25" t="str">
        <f ca="1">IFERROR(__xludf.DUMMYFUNCTION("""COMPUTED_VALUE"""),"LORETO")</f>
        <v>LORETO</v>
      </c>
      <c r="F2073" s="25" t="str">
        <f ca="1">IFERROR(__xludf.DUMMYFUNCTION("""COMPUTED_VALUE"""),"MAYNAS")</f>
        <v>MAYNAS</v>
      </c>
      <c r="G2073" s="25" t="str">
        <f ca="1">IFERROR(__xludf.DUMMYFUNCTION("""COMPUTED_VALUE"""),"IQUITOS")</f>
        <v>IQUITOS</v>
      </c>
      <c r="H2073" s="25"/>
      <c r="I2073" s="25" t="str">
        <f ca="1">IFERROR(__xludf.DUMMYFUNCTION("""COMPUTED_VALUE"""),"Prioridad 3")</f>
        <v>Prioridad 3</v>
      </c>
    </row>
    <row r="2074" spans="2:9">
      <c r="B2074" s="25" t="str">
        <f ca="1">IFERROR(__xludf.DUMMYFUNCTION("""COMPUTED_VALUE"""),"COLEGIO PROFESIONAL")</f>
        <v>COLEGIO PROFESIONAL</v>
      </c>
      <c r="C2074" s="25" t="str">
        <f ca="1">IFERROR(__xludf.DUMMYFUNCTION("""COMPUTED_VALUE"""),"ILUSTRE COLEGIO DE ABOGADOS DE MADRE DE DIOS")</f>
        <v>ILUSTRE COLEGIO DE ABOGADOS DE MADRE DE DIOS</v>
      </c>
      <c r="D2074" s="25" t="str">
        <f ca="1">IFERROR(__xludf.DUMMYFUNCTION("""COMPUTED_VALUE"""),"CUZCO")</f>
        <v>CUZCO</v>
      </c>
      <c r="E2074" s="25" t="str">
        <f ca="1">IFERROR(__xludf.DUMMYFUNCTION("""COMPUTED_VALUE"""),"MADRE DE DIOS")</f>
        <v>MADRE DE DIOS</v>
      </c>
      <c r="F2074" s="25" t="str">
        <f ca="1">IFERROR(__xludf.DUMMYFUNCTION("""COMPUTED_VALUE"""),"TAMBOPATA")</f>
        <v>TAMBOPATA</v>
      </c>
      <c r="G2074" s="25" t="str">
        <f ca="1">IFERROR(__xludf.DUMMYFUNCTION("""COMPUTED_VALUE"""),"TAMBOPATA")</f>
        <v>TAMBOPATA</v>
      </c>
      <c r="H2074" s="25"/>
      <c r="I2074" s="25" t="str">
        <f ca="1">IFERROR(__xludf.DUMMYFUNCTION("""COMPUTED_VALUE"""),"Prioridad 4")</f>
        <v>Prioridad 4</v>
      </c>
    </row>
    <row r="2075" spans="2:9">
      <c r="B2075" s="25" t="str">
        <f ca="1">IFERROR(__xludf.DUMMYFUNCTION("""COMPUTED_VALUE"""),"COLEGIO PROFESIONAL")</f>
        <v>COLEGIO PROFESIONAL</v>
      </c>
      <c r="C2075" s="25" t="str">
        <f ca="1">IFERROR(__xludf.DUMMYFUNCTION("""COMPUTED_VALUE"""),"ILUSTRE COLEGIO DE ABOGADOS DE MOQUEGUA")</f>
        <v>ILUSTRE COLEGIO DE ABOGADOS DE MOQUEGUA</v>
      </c>
      <c r="D2075" s="25" t="str">
        <f ca="1">IFERROR(__xludf.DUMMYFUNCTION("""COMPUTED_VALUE"""),"TACNA")</f>
        <v>TACNA</v>
      </c>
      <c r="E2075" s="25" t="str">
        <f ca="1">IFERROR(__xludf.DUMMYFUNCTION("""COMPUTED_VALUE"""),"MOQUEGUA")</f>
        <v>MOQUEGUA</v>
      </c>
      <c r="F2075" s="25" t="str">
        <f ca="1">IFERROR(__xludf.DUMMYFUNCTION("""COMPUTED_VALUE"""),"MARISCAL NIETO")</f>
        <v>MARISCAL NIETO</v>
      </c>
      <c r="G2075" s="25" t="str">
        <f ca="1">IFERROR(__xludf.DUMMYFUNCTION("""COMPUTED_VALUE"""),"MOQUEGUA")</f>
        <v>MOQUEGUA</v>
      </c>
      <c r="H2075" s="25"/>
      <c r="I2075" s="25" t="str">
        <f ca="1">IFERROR(__xludf.DUMMYFUNCTION("""COMPUTED_VALUE"""),"Prioridad 1")</f>
        <v>Prioridad 1</v>
      </c>
    </row>
    <row r="2076" spans="2:9">
      <c r="B2076" s="25" t="str">
        <f ca="1">IFERROR(__xludf.DUMMYFUNCTION("""COMPUTED_VALUE"""),"COLEGIO PROFESIONAL")</f>
        <v>COLEGIO PROFESIONAL</v>
      </c>
      <c r="C2076" s="25" t="str">
        <f ca="1">IFERROR(__xludf.DUMMYFUNCTION("""COMPUTED_VALUE"""),"COLEGIO DE ABOGADOS DE PASCO")</f>
        <v>COLEGIO DE ABOGADOS DE PASCO</v>
      </c>
      <c r="D2076" s="25" t="str">
        <f ca="1">IFERROR(__xludf.DUMMYFUNCTION("""COMPUTED_VALUE"""),"JUNÍN")</f>
        <v>JUNÍN</v>
      </c>
      <c r="E2076" s="25" t="str">
        <f ca="1">IFERROR(__xludf.DUMMYFUNCTION("""COMPUTED_VALUE"""),"PASCO")</f>
        <v>PASCO</v>
      </c>
      <c r="F2076" s="25" t="str">
        <f ca="1">IFERROR(__xludf.DUMMYFUNCTION("""COMPUTED_VALUE"""),"PASCO")</f>
        <v>PASCO</v>
      </c>
      <c r="G2076" s="25" t="str">
        <f ca="1">IFERROR(__xludf.DUMMYFUNCTION("""COMPUTED_VALUE"""),"YANACANCHA")</f>
        <v>YANACANCHA</v>
      </c>
      <c r="H2076" s="25"/>
      <c r="I2076" s="25" t="str">
        <f ca="1">IFERROR(__xludf.DUMMYFUNCTION("""COMPUTED_VALUE"""),"Prioridad 5")</f>
        <v>Prioridad 5</v>
      </c>
    </row>
    <row r="2077" spans="2:9">
      <c r="B2077" s="25" t="str">
        <f ca="1">IFERROR(__xludf.DUMMYFUNCTION("""COMPUTED_VALUE"""),"COLEGIO PROFESIONAL")</f>
        <v>COLEGIO PROFESIONAL</v>
      </c>
      <c r="C2077" s="25" t="str">
        <f ca="1">IFERROR(__xludf.DUMMYFUNCTION("""COMPUTED_VALUE"""),"ILUSTRE COLEGIO DE ABOGADOS DE SULLANA")</f>
        <v>ILUSTRE COLEGIO DE ABOGADOS DE SULLANA</v>
      </c>
      <c r="D2077" s="25" t="str">
        <f ca="1">IFERROR(__xludf.DUMMYFUNCTION("""COMPUTED_VALUE"""),"PIURA")</f>
        <v>PIURA</v>
      </c>
      <c r="E2077" s="25" t="str">
        <f ca="1">IFERROR(__xludf.DUMMYFUNCTION("""COMPUTED_VALUE"""),"PIURA")</f>
        <v>PIURA</v>
      </c>
      <c r="F2077" s="25" t="str">
        <f ca="1">IFERROR(__xludf.DUMMYFUNCTION("""COMPUTED_VALUE"""),"SULLANA")</f>
        <v>SULLANA</v>
      </c>
      <c r="G2077" s="25" t="str">
        <f ca="1">IFERROR(__xludf.DUMMYFUNCTION("""COMPUTED_VALUE"""),"SULLANA")</f>
        <v>SULLANA</v>
      </c>
      <c r="H2077" s="25"/>
      <c r="I2077" s="25" t="str">
        <f ca="1">IFERROR(__xludf.DUMMYFUNCTION("""COMPUTED_VALUE"""),"Prioridad 2")</f>
        <v>Prioridad 2</v>
      </c>
    </row>
    <row r="2078" spans="2:9">
      <c r="B2078" s="25" t="str">
        <f ca="1">IFERROR(__xludf.DUMMYFUNCTION("""COMPUTED_VALUE"""),"COLEGIO PROFESIONAL")</f>
        <v>COLEGIO PROFESIONAL</v>
      </c>
      <c r="C2078" s="25" t="str">
        <f ca="1">IFERROR(__xludf.DUMMYFUNCTION("""COMPUTED_VALUE"""),"ILUSTRE COLEGIO DE ABOGADOS DE PIURA")</f>
        <v>ILUSTRE COLEGIO DE ABOGADOS DE PIURA</v>
      </c>
      <c r="D2078" s="25" t="str">
        <f ca="1">IFERROR(__xludf.DUMMYFUNCTION("""COMPUTED_VALUE"""),"PIURA")</f>
        <v>PIURA</v>
      </c>
      <c r="E2078" s="25" t="str">
        <f ca="1">IFERROR(__xludf.DUMMYFUNCTION("""COMPUTED_VALUE"""),"PIURA")</f>
        <v>PIURA</v>
      </c>
      <c r="F2078" s="25" t="str">
        <f ca="1">IFERROR(__xludf.DUMMYFUNCTION("""COMPUTED_VALUE"""),"PIURA")</f>
        <v>PIURA</v>
      </c>
      <c r="G2078" s="25" t="str">
        <f ca="1">IFERROR(__xludf.DUMMYFUNCTION("""COMPUTED_VALUE"""),"PIURA")</f>
        <v>PIURA</v>
      </c>
      <c r="H2078" s="25"/>
      <c r="I2078" s="25" t="str">
        <f ca="1">IFERROR(__xludf.DUMMYFUNCTION("""COMPUTED_VALUE"""),"Prioridad 2")</f>
        <v>Prioridad 2</v>
      </c>
    </row>
    <row r="2079" spans="2:9">
      <c r="B2079" s="25" t="str">
        <f ca="1">IFERROR(__xludf.DUMMYFUNCTION("""COMPUTED_VALUE"""),"UNIVERSIDAD PRIVADA")</f>
        <v>UNIVERSIDAD PRIVADA</v>
      </c>
      <c r="C2079" s="25" t="str">
        <f ca="1">IFERROR(__xludf.DUMMYFUNCTION("""COMPUTED_VALUE"""),"UNIVERSIDAD PRIVADA SAN JUAN BAUTISTA SOCIEDAD ANÓNIMA CERRADA")</f>
        <v>UNIVERSIDAD PRIVADA SAN JUAN BAUTISTA SOCIEDAD ANÓNIMA CERRADA</v>
      </c>
      <c r="D2079" s="25" t="str">
        <f ca="1">IFERROR(__xludf.DUMMYFUNCTION("""COMPUTED_VALUE"""),"SEDE CENTRAL")</f>
        <v>SEDE CENTRAL</v>
      </c>
      <c r="E2079" s="25" t="str">
        <f ca="1">IFERROR(__xludf.DUMMYFUNCTION("""COMPUTED_VALUE"""),"LIMA")</f>
        <v>LIMA</v>
      </c>
      <c r="F2079" s="25"/>
      <c r="G2079" s="25"/>
      <c r="H2079" s="25"/>
      <c r="I2079" s="25" t="str">
        <f ca="1">IFERROR(__xludf.DUMMYFUNCTION("""COMPUTED_VALUE"""),"Prioridad 3")</f>
        <v>Prioridad 3</v>
      </c>
    </row>
    <row r="2080" spans="2:9">
      <c r="B2080" s="25" t="str">
        <f ca="1">IFERROR(__xludf.DUMMYFUNCTION("""COMPUTED_VALUE"""),"COLEGIO PROFESIONAL")</f>
        <v>COLEGIO PROFESIONAL</v>
      </c>
      <c r="C2080" s="25" t="str">
        <f ca="1">IFERROR(__xludf.DUMMYFUNCTION("""COMPUTED_VALUE"""),"COLEGIO DE ABOGADOS DE PUNO")</f>
        <v>COLEGIO DE ABOGADOS DE PUNO</v>
      </c>
      <c r="D2080" s="25" t="str">
        <f ca="1">IFERROR(__xludf.DUMMYFUNCTION("""COMPUTED_VALUE"""),"PUNO")</f>
        <v>PUNO</v>
      </c>
      <c r="E2080" s="25" t="str">
        <f ca="1">IFERROR(__xludf.DUMMYFUNCTION("""COMPUTED_VALUE"""),"PUNO")</f>
        <v>PUNO</v>
      </c>
      <c r="F2080" s="25" t="str">
        <f ca="1">IFERROR(__xludf.DUMMYFUNCTION("""COMPUTED_VALUE"""),"PUNO")</f>
        <v>PUNO</v>
      </c>
      <c r="G2080" s="25" t="str">
        <f ca="1">IFERROR(__xludf.DUMMYFUNCTION("""COMPUTED_VALUE"""),"PUNO")</f>
        <v>PUNO</v>
      </c>
      <c r="H2080" s="25"/>
      <c r="I2080" s="25" t="str">
        <f ca="1">IFERROR(__xludf.DUMMYFUNCTION("""COMPUTED_VALUE"""),"Prioridad 1")</f>
        <v>Prioridad 1</v>
      </c>
    </row>
    <row r="2081" spans="2:9">
      <c r="B2081" s="25" t="str">
        <f ca="1">IFERROR(__xludf.DUMMYFUNCTION("""COMPUTED_VALUE"""),"UNIVERSIDAD PRIVADA")</f>
        <v>UNIVERSIDAD PRIVADA</v>
      </c>
      <c r="C2081" s="25" t="str">
        <f ca="1">IFERROR(__xludf.DUMMYFUNCTION("""COMPUTED_VALUE"""),"UNIVERSIDAD RICARDO PALMA")</f>
        <v>UNIVERSIDAD RICARDO PALMA</v>
      </c>
      <c r="D2081" s="25" t="str">
        <f ca="1">IFERROR(__xludf.DUMMYFUNCTION("""COMPUTED_VALUE"""),"SEDE CENTRAL")</f>
        <v>SEDE CENTRAL</v>
      </c>
      <c r="E2081" s="25" t="str">
        <f ca="1">IFERROR(__xludf.DUMMYFUNCTION("""COMPUTED_VALUE"""),"LIMA")</f>
        <v>LIMA</v>
      </c>
      <c r="F2081" s="25"/>
      <c r="G2081" s="25"/>
      <c r="H2081" s="25" t="str">
        <f ca="1">IFERROR(__xludf.DUMMYFUNCTION("""COMPUTED_VALUE"""),"SI")</f>
        <v>SI</v>
      </c>
      <c r="I2081" s="25" t="str">
        <f ca="1">IFERROR(__xludf.DUMMYFUNCTION("""COMPUTED_VALUE"""),"Prioridad 2")</f>
        <v>Prioridad 2</v>
      </c>
    </row>
    <row r="2082" spans="2:9">
      <c r="B2082" s="25" t="str">
        <f ca="1">IFERROR(__xludf.DUMMYFUNCTION("""COMPUTED_VALUE"""),"COLEGIO PROFESIONAL")</f>
        <v>COLEGIO PROFESIONAL</v>
      </c>
      <c r="C2082" s="25" t="str">
        <f ca="1">IFERROR(__xludf.DUMMYFUNCTION("""COMPUTED_VALUE"""),"COLEGIO DE ABOGADOS DE SAN MARTÍN")</f>
        <v>COLEGIO DE ABOGADOS DE SAN MARTÍN</v>
      </c>
      <c r="D2082" s="25" t="str">
        <f ca="1">IFERROR(__xludf.DUMMYFUNCTION("""COMPUTED_VALUE"""),"SAN MARTÍN")</f>
        <v>SAN MARTÍN</v>
      </c>
      <c r="E2082" s="25" t="str">
        <f ca="1">IFERROR(__xludf.DUMMYFUNCTION("""COMPUTED_VALUE"""),"SAN MARTÍN")</f>
        <v>SAN MARTÍN</v>
      </c>
      <c r="F2082" s="25" t="str">
        <f ca="1">IFERROR(__xludf.DUMMYFUNCTION("""COMPUTED_VALUE"""),"MOYOBAMBA")</f>
        <v>MOYOBAMBA</v>
      </c>
      <c r="G2082" s="25" t="str">
        <f ca="1">IFERROR(__xludf.DUMMYFUNCTION("""COMPUTED_VALUE"""),"MOYOBAMBA")</f>
        <v>MOYOBAMBA</v>
      </c>
      <c r="H2082" s="25"/>
      <c r="I2082" s="25" t="str">
        <f ca="1">IFERROR(__xludf.DUMMYFUNCTION("""COMPUTED_VALUE"""),"Prioridad 5")</f>
        <v>Prioridad 5</v>
      </c>
    </row>
    <row r="2083" spans="2:9">
      <c r="B2083" s="25" t="str">
        <f ca="1">IFERROR(__xludf.DUMMYFUNCTION("""COMPUTED_VALUE"""),"UNIVERSIDAD PRIVADA")</f>
        <v>UNIVERSIDAD PRIVADA</v>
      </c>
      <c r="C2083" s="25" t="str">
        <f ca="1">IFERROR(__xludf.DUMMYFUNCTION("""COMPUTED_VALUE"""),"UNIVERSIDAD PRIVADA SAN IGNACIO DE LOYOLA S.A.")</f>
        <v>UNIVERSIDAD PRIVADA SAN IGNACIO DE LOYOLA S.A.</v>
      </c>
      <c r="D2083" s="25" t="str">
        <f ca="1">IFERROR(__xludf.DUMMYFUNCTION("""COMPUTED_VALUE"""),"SEDE CENTRAL")</f>
        <v>SEDE CENTRAL</v>
      </c>
      <c r="E2083" s="25" t="str">
        <f ca="1">IFERROR(__xludf.DUMMYFUNCTION("""COMPUTED_VALUE"""),"LIMA")</f>
        <v>LIMA</v>
      </c>
      <c r="F2083" s="25"/>
      <c r="G2083" s="25"/>
      <c r="H2083" s="25"/>
      <c r="I2083" s="25" t="str">
        <f ca="1">IFERROR(__xludf.DUMMYFUNCTION("""COMPUTED_VALUE"""),"Prioridad 1")</f>
        <v>Prioridad 1</v>
      </c>
    </row>
    <row r="2084" spans="2:9">
      <c r="B2084" s="25" t="str">
        <f ca="1">IFERROR(__xludf.DUMMYFUNCTION("""COMPUTED_VALUE"""),"UNIVERSIDAD PRIVADA")</f>
        <v>UNIVERSIDAD PRIVADA</v>
      </c>
      <c r="C2084" s="25" t="str">
        <f ca="1">IFERROR(__xludf.DUMMYFUNCTION("""COMPUTED_VALUE"""),"UNIVERSIDAD TECNOLÓGICA DEL PERÚ S.A.C.")</f>
        <v>UNIVERSIDAD TECNOLÓGICA DEL PERÚ S.A.C.</v>
      </c>
      <c r="D2084" s="25" t="str">
        <f ca="1">IFERROR(__xludf.DUMMYFUNCTION("""COMPUTED_VALUE"""),"SEDE CENTRAL")</f>
        <v>SEDE CENTRAL</v>
      </c>
      <c r="E2084" s="25" t="str">
        <f ca="1">IFERROR(__xludf.DUMMYFUNCTION("""COMPUTED_VALUE"""),"LIMA")</f>
        <v>LIMA</v>
      </c>
      <c r="F2084" s="25"/>
      <c r="G2084" s="25"/>
      <c r="H2084" s="25"/>
      <c r="I2084" s="25" t="str">
        <f ca="1">IFERROR(__xludf.DUMMYFUNCTION("""COMPUTED_VALUE"""),"Prioridad 2")</f>
        <v>Prioridad 2</v>
      </c>
    </row>
    <row r="2085" spans="2:9">
      <c r="B2085" s="25" t="str">
        <f ca="1">IFERROR(__xludf.DUMMYFUNCTION("""COMPUTED_VALUE"""),"MUNICIPALIDAD DISTRITAL")</f>
        <v>MUNICIPALIDAD DISTRITAL</v>
      </c>
      <c r="C2085" s="25" t="str">
        <f ca="1">IFERROR(__xludf.DUMMYFUNCTION("""COMPUTED_VALUE"""),"MUNICIPALIDAD DISTRITAL DE AHUAYRO")</f>
        <v>MUNICIPALIDAD DISTRITAL DE AHUAYRO</v>
      </c>
      <c r="D2085" s="25" t="str">
        <f ca="1">IFERROR(__xludf.DUMMYFUNCTION("""COMPUTED_VALUE"""),"CUZCO")</f>
        <v>CUZCO</v>
      </c>
      <c r="E2085" s="25" t="str">
        <f ca="1">IFERROR(__xludf.DUMMYFUNCTION("""COMPUTED_VALUE"""),"APURÍMAC")</f>
        <v>APURÍMAC</v>
      </c>
      <c r="F2085" s="25" t="str">
        <f ca="1">IFERROR(__xludf.DUMMYFUNCTION("""COMPUTED_VALUE"""),"CHINCHEROS")</f>
        <v>CHINCHEROS</v>
      </c>
      <c r="G2085" s="25" t="str">
        <f ca="1">IFERROR(__xludf.DUMMYFUNCTION("""COMPUTED_VALUE"""),"AHUAYRO")</f>
        <v>AHUAYRO</v>
      </c>
      <c r="H2085" s="25"/>
      <c r="I2085" s="25" t="str">
        <f ca="1">IFERROR(__xludf.DUMMYFUNCTION("""COMPUTED_VALUE"""),"Prioridad 5")</f>
        <v>Prioridad 5</v>
      </c>
    </row>
    <row r="2086" spans="2:9">
      <c r="B2086" s="25" t="str">
        <f ca="1">IFERROR(__xludf.DUMMYFUNCTION("""COMPUTED_VALUE"""),"MUNICIPALIDAD DISTRITAL")</f>
        <v>MUNICIPALIDAD DISTRITAL</v>
      </c>
      <c r="C2086" s="25" t="str">
        <f ca="1">IFERROR(__xludf.DUMMYFUNCTION("""COMPUTED_VALUE"""),"MUNICIPALIDAD DISTRITAL DE COCHABAMBA EN TAYACAJA")</f>
        <v>MUNICIPALIDAD DISTRITAL DE COCHABAMBA EN TAYACAJA</v>
      </c>
      <c r="D2086" s="25" t="str">
        <f ca="1">IFERROR(__xludf.DUMMYFUNCTION("""COMPUTED_VALUE"""),"JUNÍN")</f>
        <v>JUNÍN</v>
      </c>
      <c r="E2086" s="25" t="str">
        <f ca="1">IFERROR(__xludf.DUMMYFUNCTION("""COMPUTED_VALUE"""),"HUANCAVELICA")</f>
        <v>HUANCAVELICA</v>
      </c>
      <c r="F2086" s="25" t="str">
        <f ca="1">IFERROR(__xludf.DUMMYFUNCTION("""COMPUTED_VALUE"""),"TAYACAJA")</f>
        <v>TAYACAJA</v>
      </c>
      <c r="G2086" s="25" t="str">
        <f ca="1">IFERROR(__xludf.DUMMYFUNCTION("""COMPUTED_VALUE"""),"COCHABAMBA")</f>
        <v>COCHABAMBA</v>
      </c>
      <c r="H2086" s="25"/>
      <c r="I2086" s="25" t="str">
        <f ca="1">IFERROR(__xludf.DUMMYFUNCTION("""COMPUTED_VALUE"""),"Prioridad 5")</f>
        <v>Prioridad 5</v>
      </c>
    </row>
    <row r="2087" spans="2:9">
      <c r="B2087" s="25" t="str">
        <f ca="1">IFERROR(__xludf.DUMMYFUNCTION("""COMPUTED_VALUE"""),"MUNICIPALIDAD DISTRITAL")</f>
        <v>MUNICIPALIDAD DISTRITAL</v>
      </c>
      <c r="C2087" s="25" t="str">
        <f ca="1">IFERROR(__xludf.DUMMYFUNCTION("""COMPUTED_VALUE"""),"MUNICIPALIDAD DISTRITAL DE LAMBRAS")</f>
        <v>MUNICIPALIDAD DISTRITAL DE LAMBRAS</v>
      </c>
      <c r="D2087" s="25" t="str">
        <f ca="1">IFERROR(__xludf.DUMMYFUNCTION("""COMPUTED_VALUE"""),"JUNÍN")</f>
        <v>JUNÍN</v>
      </c>
      <c r="E2087" s="25" t="str">
        <f ca="1">IFERROR(__xludf.DUMMYFUNCTION("""COMPUTED_VALUE"""),"HUANCAVELICA")</f>
        <v>HUANCAVELICA</v>
      </c>
      <c r="F2087" s="25" t="str">
        <f ca="1">IFERROR(__xludf.DUMMYFUNCTION("""COMPUTED_VALUE"""),"TAYACAJA")</f>
        <v>TAYACAJA</v>
      </c>
      <c r="G2087" s="25" t="str">
        <f ca="1">IFERROR(__xludf.DUMMYFUNCTION("""COMPUTED_VALUE"""),"LAMBRAS")</f>
        <v>LAMBRAS</v>
      </c>
      <c r="H2087" s="25" t="str">
        <f ca="1">IFERROR(__xludf.DUMMYFUNCTION("""COMPUTED_VALUE"""),"RURAL")</f>
        <v>RURAL</v>
      </c>
      <c r="I2087" s="25" t="str">
        <f ca="1">IFERROR(__xludf.DUMMYFUNCTION("""COMPUTED_VALUE"""),"Prioridad 5")</f>
        <v>Prioridad 5</v>
      </c>
    </row>
    <row r="2088" spans="2:9">
      <c r="B2088" s="25" t="str">
        <f ca="1">IFERROR(__xludf.DUMMYFUNCTION("""COMPUTED_VALUE"""),"MUNICIPALIDAD DISTRITAL")</f>
        <v>MUNICIPALIDAD DISTRITAL</v>
      </c>
      <c r="C2088" s="25" t="str">
        <f ca="1">IFERROR(__xludf.DUMMYFUNCTION("""COMPUTED_VALUE"""),"MUNICIPALIDAD DISTRITAL DE SANTA LUCIA EN TOCACHE")</f>
        <v>MUNICIPALIDAD DISTRITAL DE SANTA LUCIA EN TOCACHE</v>
      </c>
      <c r="D2088" s="25" t="str">
        <f ca="1">IFERROR(__xludf.DUMMYFUNCTION("""COMPUTED_VALUE"""),"SAN MARTÍN")</f>
        <v>SAN MARTÍN</v>
      </c>
      <c r="E2088" s="25" t="str">
        <f ca="1">IFERROR(__xludf.DUMMYFUNCTION("""COMPUTED_VALUE"""),"SAN MARTÍN")</f>
        <v>SAN MARTÍN</v>
      </c>
      <c r="F2088" s="25" t="str">
        <f ca="1">IFERROR(__xludf.DUMMYFUNCTION("""COMPUTED_VALUE"""),"TOCACHE")</f>
        <v>TOCACHE</v>
      </c>
      <c r="G2088" s="25" t="str">
        <f ca="1">IFERROR(__xludf.DUMMYFUNCTION("""COMPUTED_VALUE"""),"SANTA LUCIA")</f>
        <v>SANTA LUCIA</v>
      </c>
      <c r="H2088" s="25"/>
      <c r="I2088" s="25" t="str">
        <f ca="1">IFERROR(__xludf.DUMMYFUNCTION("""COMPUTED_VALUE"""),"Prioridad 5")</f>
        <v>Prioridad 5</v>
      </c>
    </row>
    <row r="2089" spans="2:9">
      <c r="B2089" s="25" t="str">
        <f ca="1">IFERROR(__xludf.DUMMYFUNCTION("""COMPUTED_VALUE"""),"MUNICIPALIDAD DISTRITAL")</f>
        <v>MUNICIPALIDAD DISTRITAL</v>
      </c>
      <c r="C2089" s="25" t="str">
        <f ca="1">IFERROR(__xludf.DUMMYFUNCTION("""COMPUTED_VALUE"""),"MUNICIPALIDAD DISTRITAL DE SAN ANTONIO EN MARISCAL NIETO")</f>
        <v>MUNICIPALIDAD DISTRITAL DE SAN ANTONIO EN MARISCAL NIETO</v>
      </c>
      <c r="D2089" s="25" t="str">
        <f ca="1">IFERROR(__xludf.DUMMYFUNCTION("""COMPUTED_VALUE"""),"TACNA")</f>
        <v>TACNA</v>
      </c>
      <c r="E2089" s="25" t="str">
        <f ca="1">IFERROR(__xludf.DUMMYFUNCTION("""COMPUTED_VALUE"""),"MOQUEGUA")</f>
        <v>MOQUEGUA</v>
      </c>
      <c r="F2089" s="25" t="str">
        <f ca="1">IFERROR(__xludf.DUMMYFUNCTION("""COMPUTED_VALUE"""),"MARISCAL NIETO")</f>
        <v>MARISCAL NIETO</v>
      </c>
      <c r="G2089" s="25" t="str">
        <f ca="1">IFERROR(__xludf.DUMMYFUNCTION("""COMPUTED_VALUE"""),"SAN ANTONIO")</f>
        <v>SAN ANTONIO</v>
      </c>
      <c r="H2089" s="25"/>
      <c r="I2089" s="25" t="str">
        <f ca="1">IFERROR(__xludf.DUMMYFUNCTION("""COMPUTED_VALUE"""),"Prioridad 5")</f>
        <v>Prioridad 5</v>
      </c>
    </row>
    <row r="2090" spans="2:9">
      <c r="B2090" s="25" t="str">
        <f ca="1">IFERROR(__xludf.DUMMYFUNCTION("""COMPUTED_VALUE"""),"COLEGIO PROFESIONAL")</f>
        <v>COLEGIO PROFESIONAL</v>
      </c>
      <c r="C2090" s="25" t="str">
        <f ca="1">IFERROR(__xludf.DUMMYFUNCTION("""COMPUTED_VALUE"""),"COLEGIO DE NOTARIOS DE ANCASH")</f>
        <v>COLEGIO DE NOTARIOS DE ANCASH</v>
      </c>
      <c r="D2090" s="25" t="str">
        <f ca="1">IFERROR(__xludf.DUMMYFUNCTION("""COMPUTED_VALUE"""),"LA LIBERTAD")</f>
        <v>LA LIBERTAD</v>
      </c>
      <c r="E2090" s="25" t="str">
        <f ca="1">IFERROR(__xludf.DUMMYFUNCTION("""COMPUTED_VALUE"""),"ANCASH")</f>
        <v>ANCASH</v>
      </c>
      <c r="F2090" s="25" t="str">
        <f ca="1">IFERROR(__xludf.DUMMYFUNCTION("""COMPUTED_VALUE"""),"SANTA")</f>
        <v>SANTA</v>
      </c>
      <c r="G2090" s="25" t="str">
        <f ca="1">IFERROR(__xludf.DUMMYFUNCTION("""COMPUTED_VALUE"""),"NUEVO CHIMBOTE")</f>
        <v>NUEVO CHIMBOTE</v>
      </c>
      <c r="H2090" s="25"/>
      <c r="I2090" s="25" t="str">
        <f ca="1">IFERROR(__xludf.DUMMYFUNCTION("""COMPUTED_VALUE"""),"Prioridad 1")</f>
        <v>Prioridad 1</v>
      </c>
    </row>
    <row r="2091" spans="2:9">
      <c r="B2091" s="25" t="str">
        <f ca="1">IFERROR(__xludf.DUMMYFUNCTION("""COMPUTED_VALUE"""),"COLEGIO PROFESIONAL")</f>
        <v>COLEGIO PROFESIONAL</v>
      </c>
      <c r="C2091" s="25" t="str">
        <f ca="1">IFERROR(__xludf.DUMMYFUNCTION("""COMPUTED_VALUE"""),"COLEGIO DE NOTARIOS DE APURÍMAC")</f>
        <v>COLEGIO DE NOTARIOS DE APURÍMAC</v>
      </c>
      <c r="D2091" s="25" t="str">
        <f ca="1">IFERROR(__xludf.DUMMYFUNCTION("""COMPUTED_VALUE"""),"SAN MARTÍN")</f>
        <v>SAN MARTÍN</v>
      </c>
      <c r="E2091" s="25" t="str">
        <f ca="1">IFERROR(__xludf.DUMMYFUNCTION("""COMPUTED_VALUE"""),"APURÍMAC")</f>
        <v>APURÍMAC</v>
      </c>
      <c r="F2091" s="25" t="str">
        <f ca="1">IFERROR(__xludf.DUMMYFUNCTION("""COMPUTED_VALUE"""),"ANDAHUAYLAS")</f>
        <v>ANDAHUAYLAS</v>
      </c>
      <c r="G2091" s="25" t="str">
        <f ca="1">IFERROR(__xludf.DUMMYFUNCTION("""COMPUTED_VALUE"""),"SAN JERONIMO")</f>
        <v>SAN JERONIMO</v>
      </c>
      <c r="H2091" s="25"/>
      <c r="I2091" s="25" t="str">
        <f ca="1">IFERROR(__xludf.DUMMYFUNCTION("""COMPUTED_VALUE"""),"Prioridad 3")</f>
        <v>Prioridad 3</v>
      </c>
    </row>
    <row r="2092" spans="2:9">
      <c r="B2092" s="25" t="str">
        <f ca="1">IFERROR(__xludf.DUMMYFUNCTION("""COMPUTED_VALUE"""),"COLEGIO PROFESIONAL")</f>
        <v>COLEGIO PROFESIONAL</v>
      </c>
      <c r="C2092" s="25" t="str">
        <f ca="1">IFERROR(__xludf.DUMMYFUNCTION("""COMPUTED_VALUE"""),"COLEGIO DE NOTARIOS DE AREQUIPA")</f>
        <v>COLEGIO DE NOTARIOS DE AREQUIPA</v>
      </c>
      <c r="D2092" s="25" t="str">
        <f ca="1">IFERROR(__xludf.DUMMYFUNCTION("""COMPUTED_VALUE"""),"AREQUIPA")</f>
        <v>AREQUIPA</v>
      </c>
      <c r="E2092" s="25" t="str">
        <f ca="1">IFERROR(__xludf.DUMMYFUNCTION("""COMPUTED_VALUE"""),"AREQUIPA")</f>
        <v>AREQUIPA</v>
      </c>
      <c r="F2092" s="25" t="str">
        <f ca="1">IFERROR(__xludf.DUMMYFUNCTION("""COMPUTED_VALUE"""),"AREQUIPA")</f>
        <v>AREQUIPA</v>
      </c>
      <c r="G2092" s="25" t="str">
        <f ca="1">IFERROR(__xludf.DUMMYFUNCTION("""COMPUTED_VALUE"""),"AREQUIPA")</f>
        <v>AREQUIPA</v>
      </c>
      <c r="H2092" s="25"/>
      <c r="I2092" s="25" t="str">
        <f ca="1">IFERROR(__xludf.DUMMYFUNCTION("""COMPUTED_VALUE"""),"Prioridad 1")</f>
        <v>Prioridad 1</v>
      </c>
    </row>
    <row r="2093" spans="2:9">
      <c r="B2093" s="25" t="str">
        <f ca="1">IFERROR(__xludf.DUMMYFUNCTION("""COMPUTED_VALUE"""),"COLEGIO PROFESIONAL")</f>
        <v>COLEGIO PROFESIONAL</v>
      </c>
      <c r="C2093" s="25" t="str">
        <f ca="1">IFERROR(__xludf.DUMMYFUNCTION("""COMPUTED_VALUE"""),"COLEGIO DE NOTARIOS DE AYACUCHO")</f>
        <v>COLEGIO DE NOTARIOS DE AYACUCHO</v>
      </c>
      <c r="D2093" s="25" t="str">
        <f ca="1">IFERROR(__xludf.DUMMYFUNCTION("""COMPUTED_VALUE"""),"ICA")</f>
        <v>ICA</v>
      </c>
      <c r="E2093" s="25" t="str">
        <f ca="1">IFERROR(__xludf.DUMMYFUNCTION("""COMPUTED_VALUE"""),"AYACUCHO")</f>
        <v>AYACUCHO</v>
      </c>
      <c r="F2093" s="25" t="str">
        <f ca="1">IFERROR(__xludf.DUMMYFUNCTION("""COMPUTED_VALUE"""),"HUAMANGA")</f>
        <v>HUAMANGA</v>
      </c>
      <c r="G2093" s="25" t="str">
        <f ca="1">IFERROR(__xludf.DUMMYFUNCTION("""COMPUTED_VALUE"""),"AYACUCHO")</f>
        <v>AYACUCHO</v>
      </c>
      <c r="H2093" s="25"/>
      <c r="I2093" s="25" t="str">
        <f ca="1">IFERROR(__xludf.DUMMYFUNCTION("""COMPUTED_VALUE"""),"Prioridad 4")</f>
        <v>Prioridad 4</v>
      </c>
    </row>
    <row r="2094" spans="2:9">
      <c r="B2094" s="25" t="str">
        <f ca="1">IFERROR(__xludf.DUMMYFUNCTION("""COMPUTED_VALUE"""),"COLEGIO PROFESIONAL")</f>
        <v>COLEGIO PROFESIONAL</v>
      </c>
      <c r="C2094" s="25" t="str">
        <f ca="1">IFERROR(__xludf.DUMMYFUNCTION("""COMPUTED_VALUE"""),"COLEGIO DE NOTARIOS DE CAJAMARCA")</f>
        <v>COLEGIO DE NOTARIOS DE CAJAMARCA</v>
      </c>
      <c r="D2094" s="25" t="str">
        <f ca="1">IFERROR(__xludf.DUMMYFUNCTION("""COMPUTED_VALUE"""),"CAJAMARCA")</f>
        <v>CAJAMARCA</v>
      </c>
      <c r="E2094" s="25" t="str">
        <f ca="1">IFERROR(__xludf.DUMMYFUNCTION("""COMPUTED_VALUE"""),"CAJAMARCA")</f>
        <v>CAJAMARCA</v>
      </c>
      <c r="F2094" s="25" t="str">
        <f ca="1">IFERROR(__xludf.DUMMYFUNCTION("""COMPUTED_VALUE"""),"CAJAMARCA")</f>
        <v>CAJAMARCA</v>
      </c>
      <c r="G2094" s="25" t="str">
        <f ca="1">IFERROR(__xludf.DUMMYFUNCTION("""COMPUTED_VALUE"""),"CAJAMARCA")</f>
        <v>CAJAMARCA</v>
      </c>
      <c r="H2094" s="25"/>
      <c r="I2094" s="25" t="str">
        <f ca="1">IFERROR(__xludf.DUMMYFUNCTION("""COMPUTED_VALUE"""),"Prioridad 1")</f>
        <v>Prioridad 1</v>
      </c>
    </row>
    <row r="2095" spans="2:9">
      <c r="B2095" s="25" t="str">
        <f ca="1">IFERROR(__xludf.DUMMYFUNCTION("""COMPUTED_VALUE"""),"COLEGIO PROFESIONAL")</f>
        <v>COLEGIO PROFESIONAL</v>
      </c>
      <c r="C2095" s="25" t="str">
        <f ca="1">IFERROR(__xludf.DUMMYFUNCTION("""COMPUTED_VALUE"""),"COLEGIO DE NOTARIOS DE CALLAO")</f>
        <v>COLEGIO DE NOTARIOS DE CALLAO</v>
      </c>
      <c r="D2095" s="25" t="str">
        <f ca="1">IFERROR(__xludf.DUMMYFUNCTION("""COMPUTED_VALUE"""),"SEDE CENTRAL")</f>
        <v>SEDE CENTRAL</v>
      </c>
      <c r="E2095" s="25" t="str">
        <f ca="1">IFERROR(__xludf.DUMMYFUNCTION("""COMPUTED_VALUE"""),"CALLAO")</f>
        <v>CALLAO</v>
      </c>
      <c r="F2095" s="25" t="str">
        <f ca="1">IFERROR(__xludf.DUMMYFUNCTION("""COMPUTED_VALUE"""),"CALLAO")</f>
        <v>CALLAO</v>
      </c>
      <c r="G2095" s="25" t="str">
        <f ca="1">IFERROR(__xludf.DUMMYFUNCTION("""COMPUTED_VALUE"""),"CALLAO")</f>
        <v>CALLAO</v>
      </c>
      <c r="H2095" s="25"/>
      <c r="I2095" s="25" t="str">
        <f ca="1">IFERROR(__xludf.DUMMYFUNCTION("""COMPUTED_VALUE"""),"Prioridad 5")</f>
        <v>Prioridad 5</v>
      </c>
    </row>
    <row r="2096" spans="2:9">
      <c r="B2096" s="25" t="str">
        <f ca="1">IFERROR(__xludf.DUMMYFUNCTION("""COMPUTED_VALUE"""),"COLEGIO PROFESIONAL")</f>
        <v>COLEGIO PROFESIONAL</v>
      </c>
      <c r="C2096" s="25" t="str">
        <f ca="1">IFERROR(__xludf.DUMMYFUNCTION("""COMPUTED_VALUE"""),"COLEGIO DE NOTARIOS DE CUSCO Y MADRE DE DIÓS")</f>
        <v>COLEGIO DE NOTARIOS DE CUSCO Y MADRE DE DIÓS</v>
      </c>
      <c r="D2096" s="25" t="str">
        <f ca="1">IFERROR(__xludf.DUMMYFUNCTION("""COMPUTED_VALUE"""),"CUZCO")</f>
        <v>CUZCO</v>
      </c>
      <c r="E2096" s="25" t="str">
        <f ca="1">IFERROR(__xludf.DUMMYFUNCTION("""COMPUTED_VALUE"""),"CUZCO")</f>
        <v>CUZCO</v>
      </c>
      <c r="F2096" s="25" t="str">
        <f ca="1">IFERROR(__xludf.DUMMYFUNCTION("""COMPUTED_VALUE"""),"SANTIAGO ")</f>
        <v xml:space="preserve">SANTIAGO </v>
      </c>
      <c r="G2096" s="25" t="str">
        <f ca="1">IFERROR(__xludf.DUMMYFUNCTION("""COMPUTED_VALUE"""),"SANTIAGO")</f>
        <v>SANTIAGO</v>
      </c>
      <c r="H2096" s="25"/>
      <c r="I2096" s="25" t="str">
        <f ca="1">IFERROR(__xludf.DUMMYFUNCTION("""COMPUTED_VALUE"""),"Prioridad 1")</f>
        <v>Prioridad 1</v>
      </c>
    </row>
    <row r="2097" spans="2:9">
      <c r="B2097" s="25" t="str">
        <f ca="1">IFERROR(__xludf.DUMMYFUNCTION("""COMPUTED_VALUE"""),"COLEGIO PROFESIONAL")</f>
        <v>COLEGIO PROFESIONAL</v>
      </c>
      <c r="C2097" s="25" t="str">
        <f ca="1">IFERROR(__xludf.DUMMYFUNCTION("""COMPUTED_VALUE"""),"COLEGIO DE NOTARIOS DE HUANCAVELICA")</f>
        <v>COLEGIO DE NOTARIOS DE HUANCAVELICA</v>
      </c>
      <c r="D2097" s="25" t="str">
        <f ca="1">IFERROR(__xludf.DUMMYFUNCTION("""COMPUTED_VALUE"""),"JUNÍN")</f>
        <v>JUNÍN</v>
      </c>
      <c r="E2097" s="25" t="str">
        <f ca="1">IFERROR(__xludf.DUMMYFUNCTION("""COMPUTED_VALUE"""),"HUANCAVELICA")</f>
        <v>HUANCAVELICA</v>
      </c>
      <c r="F2097" s="25" t="str">
        <f ca="1">IFERROR(__xludf.DUMMYFUNCTION("""COMPUTED_VALUE"""),"HUANCAVELICA")</f>
        <v>HUANCAVELICA</v>
      </c>
      <c r="G2097" s="25" t="str">
        <f ca="1">IFERROR(__xludf.DUMMYFUNCTION("""COMPUTED_VALUE"""),"HUANCAVELICA")</f>
        <v>HUANCAVELICA</v>
      </c>
      <c r="H2097" s="25"/>
      <c r="I2097" s="25" t="str">
        <f ca="1">IFERROR(__xludf.DUMMYFUNCTION("""COMPUTED_VALUE"""),"Prioridad 4")</f>
        <v>Prioridad 4</v>
      </c>
    </row>
    <row r="2098" spans="2:9">
      <c r="B2098" s="25" t="str">
        <f ca="1">IFERROR(__xludf.DUMMYFUNCTION("""COMPUTED_VALUE"""),"COLEGIO PROFESIONAL")</f>
        <v>COLEGIO PROFESIONAL</v>
      </c>
      <c r="C2098" s="25" t="str">
        <f ca="1">IFERROR(__xludf.DUMMYFUNCTION("""COMPUTED_VALUE"""),"COLEGIO DE NOTARIOS DE HUÁNUCO Y PASCO")</f>
        <v>COLEGIO DE NOTARIOS DE HUÁNUCO Y PASCO</v>
      </c>
      <c r="D2098" s="25" t="str">
        <f ca="1">IFERROR(__xludf.DUMMYFUNCTION("""COMPUTED_VALUE"""),"JUNÍN")</f>
        <v>JUNÍN</v>
      </c>
      <c r="E2098" s="25" t="str">
        <f ca="1">IFERROR(__xludf.DUMMYFUNCTION("""COMPUTED_VALUE"""),"HUÁNUCO")</f>
        <v>HUÁNUCO</v>
      </c>
      <c r="F2098" s="25" t="str">
        <f ca="1">IFERROR(__xludf.DUMMYFUNCTION("""COMPUTED_VALUE"""),"HUÁNUCO")</f>
        <v>HUÁNUCO</v>
      </c>
      <c r="G2098" s="25" t="str">
        <f ca="1">IFERROR(__xludf.DUMMYFUNCTION("""COMPUTED_VALUE"""),"AMARILIS")</f>
        <v>AMARILIS</v>
      </c>
      <c r="H2098" s="25"/>
      <c r="I2098" s="25" t="str">
        <f ca="1">IFERROR(__xludf.DUMMYFUNCTION("""COMPUTED_VALUE"""),"Prioridad 1")</f>
        <v>Prioridad 1</v>
      </c>
    </row>
    <row r="2099" spans="2:9">
      <c r="B2099" s="25" t="str">
        <f ca="1">IFERROR(__xludf.DUMMYFUNCTION("""COMPUTED_VALUE"""),"COLEGIO PROFESIONAL")</f>
        <v>COLEGIO PROFESIONAL</v>
      </c>
      <c r="C2099" s="25" t="str">
        <f ca="1">IFERROR(__xludf.DUMMYFUNCTION("""COMPUTED_VALUE"""),"COLEGIO DE NOTARIOS DE ICA")</f>
        <v>COLEGIO DE NOTARIOS DE ICA</v>
      </c>
      <c r="D2099" s="25" t="str">
        <f ca="1">IFERROR(__xludf.DUMMYFUNCTION("""COMPUTED_VALUE"""),"ICA")</f>
        <v>ICA</v>
      </c>
      <c r="E2099" s="25" t="str">
        <f ca="1">IFERROR(__xludf.DUMMYFUNCTION("""COMPUTED_VALUE"""),"ICA")</f>
        <v>ICA</v>
      </c>
      <c r="F2099" s="25" t="str">
        <f ca="1">IFERROR(__xludf.DUMMYFUNCTION("""COMPUTED_VALUE"""),"ICA")</f>
        <v>ICA</v>
      </c>
      <c r="G2099" s="25" t="str">
        <f ca="1">IFERROR(__xludf.DUMMYFUNCTION("""COMPUTED_VALUE"""),"ICA")</f>
        <v>ICA</v>
      </c>
      <c r="H2099" s="25"/>
      <c r="I2099" s="25" t="str">
        <f ca="1">IFERROR(__xludf.DUMMYFUNCTION("""COMPUTED_VALUE"""),"Prioridad 3")</f>
        <v>Prioridad 3</v>
      </c>
    </row>
    <row r="2100" spans="2:9">
      <c r="B2100" s="25" t="str">
        <f ca="1">IFERROR(__xludf.DUMMYFUNCTION("""COMPUTED_VALUE"""),"COLEGIO PROFESIONAL")</f>
        <v>COLEGIO PROFESIONAL</v>
      </c>
      <c r="C2100" s="25" t="str">
        <f ca="1">IFERROR(__xludf.DUMMYFUNCTION("""COMPUTED_VALUE"""),"COLEGIO DE NOTARIOS DE JUNÍN")</f>
        <v>COLEGIO DE NOTARIOS DE JUNÍN</v>
      </c>
      <c r="D2100" s="25" t="str">
        <f ca="1">IFERROR(__xludf.DUMMYFUNCTION("""COMPUTED_VALUE"""),"JUNÍN")</f>
        <v>JUNÍN</v>
      </c>
      <c r="E2100" s="25" t="str">
        <f ca="1">IFERROR(__xludf.DUMMYFUNCTION("""COMPUTED_VALUE"""),"JUNÍN")</f>
        <v>JUNÍN</v>
      </c>
      <c r="F2100" s="25" t="str">
        <f ca="1">IFERROR(__xludf.DUMMYFUNCTION("""COMPUTED_VALUE"""),"HUANCAYO")</f>
        <v>HUANCAYO</v>
      </c>
      <c r="G2100" s="25" t="str">
        <f ca="1">IFERROR(__xludf.DUMMYFUNCTION("""COMPUTED_VALUE"""),"EL TAMBO")</f>
        <v>EL TAMBO</v>
      </c>
      <c r="H2100" s="25"/>
      <c r="I2100" s="25" t="str">
        <f ca="1">IFERROR(__xludf.DUMMYFUNCTION("""COMPUTED_VALUE"""),"Prioridad 1")</f>
        <v>Prioridad 1</v>
      </c>
    </row>
    <row r="2101" spans="2:9">
      <c r="B2101" s="25" t="str">
        <f ca="1">IFERROR(__xludf.DUMMYFUNCTION("""COMPUTED_VALUE"""),"COLEGIO PROFESIONAL")</f>
        <v>COLEGIO PROFESIONAL</v>
      </c>
      <c r="C2101" s="25" t="str">
        <f ca="1">IFERROR(__xludf.DUMMYFUNCTION("""COMPUTED_VALUE"""),"COLEGIO DE ABOGADOS DE TACNA")</f>
        <v>COLEGIO DE ABOGADOS DE TACNA</v>
      </c>
      <c r="D2101" s="25" t="str">
        <f ca="1">IFERROR(__xludf.DUMMYFUNCTION("""COMPUTED_VALUE"""),"TACNA")</f>
        <v>TACNA</v>
      </c>
      <c r="E2101" s="25" t="str">
        <f ca="1">IFERROR(__xludf.DUMMYFUNCTION("""COMPUTED_VALUE"""),"TACNA")</f>
        <v>TACNA</v>
      </c>
      <c r="F2101" s="25" t="str">
        <f ca="1">IFERROR(__xludf.DUMMYFUNCTION("""COMPUTED_VALUE"""),"TACNA")</f>
        <v>TACNA</v>
      </c>
      <c r="G2101" s="25" t="str">
        <f ca="1">IFERROR(__xludf.DUMMYFUNCTION("""COMPUTED_VALUE"""),"TACNA")</f>
        <v>TACNA</v>
      </c>
      <c r="H2101" s="25"/>
      <c r="I2101" s="25" t="str">
        <f ca="1">IFERROR(__xludf.DUMMYFUNCTION("""COMPUTED_VALUE"""),"Prioridad 3")</f>
        <v>Prioridad 3</v>
      </c>
    </row>
    <row r="2102" spans="2:9">
      <c r="B2102" s="25" t="str">
        <f ca="1">IFERROR(__xludf.DUMMYFUNCTION("""COMPUTED_VALUE"""),"COLEGIO PROFESIONAL")</f>
        <v>COLEGIO PROFESIONAL</v>
      </c>
      <c r="C2102" s="25" t="str">
        <f ca="1">IFERROR(__xludf.DUMMYFUNCTION("""COMPUTED_VALUE"""),"COLEGIO DE NOTARIOS DE LA LIBERTAD")</f>
        <v>COLEGIO DE NOTARIOS DE LA LIBERTAD</v>
      </c>
      <c r="D2102" s="25" t="str">
        <f ca="1">IFERROR(__xludf.DUMMYFUNCTION("""COMPUTED_VALUE"""),"LA LIBERTAD")</f>
        <v>LA LIBERTAD</v>
      </c>
      <c r="E2102" s="25" t="str">
        <f ca="1">IFERROR(__xludf.DUMMYFUNCTION("""COMPUTED_VALUE"""),"LA LIBERTAD")</f>
        <v>LA LIBERTAD</v>
      </c>
      <c r="F2102" s="25" t="str">
        <f ca="1">IFERROR(__xludf.DUMMYFUNCTION("""COMPUTED_VALUE"""),"TRUJILLO")</f>
        <v>TRUJILLO</v>
      </c>
      <c r="G2102" s="25" t="str">
        <f ca="1">IFERROR(__xludf.DUMMYFUNCTION("""COMPUTED_VALUE"""),"TRUJILLO")</f>
        <v>TRUJILLO</v>
      </c>
      <c r="H2102" s="25"/>
      <c r="I2102" s="25" t="str">
        <f ca="1">IFERROR(__xludf.DUMMYFUNCTION("""COMPUTED_VALUE"""),"Prioridad 1")</f>
        <v>Prioridad 1</v>
      </c>
    </row>
    <row r="2103" spans="2:9">
      <c r="B2103" s="25" t="str">
        <f ca="1">IFERROR(__xludf.DUMMYFUNCTION("""COMPUTED_VALUE"""),"COLEGIO PROFESIONAL")</f>
        <v>COLEGIO PROFESIONAL</v>
      </c>
      <c r="C2103" s="25" t="str">
        <f ca="1">IFERROR(__xludf.DUMMYFUNCTION("""COMPUTED_VALUE"""),"COLEGIO DE NOTARIOS DE LAMBAYEQUE ")</f>
        <v xml:space="preserve">COLEGIO DE NOTARIOS DE LAMBAYEQUE </v>
      </c>
      <c r="D2103" s="25" t="str">
        <f ca="1">IFERROR(__xludf.DUMMYFUNCTION("""COMPUTED_VALUE"""),"LAMBAYEQUE")</f>
        <v>LAMBAYEQUE</v>
      </c>
      <c r="E2103" s="25" t="str">
        <f ca="1">IFERROR(__xludf.DUMMYFUNCTION("""COMPUTED_VALUE"""),"LAMBAYEQUE")</f>
        <v>LAMBAYEQUE</v>
      </c>
      <c r="F2103" s="25" t="str">
        <f ca="1">IFERROR(__xludf.DUMMYFUNCTION("""COMPUTED_VALUE"""),"CHICLAYO")</f>
        <v>CHICLAYO</v>
      </c>
      <c r="G2103" s="25" t="str">
        <f ca="1">IFERROR(__xludf.DUMMYFUNCTION("""COMPUTED_VALUE"""),"LA VICTORIA")</f>
        <v>LA VICTORIA</v>
      </c>
      <c r="H2103" s="25"/>
      <c r="I2103" s="25" t="str">
        <f ca="1">IFERROR(__xludf.DUMMYFUNCTION("""COMPUTED_VALUE"""),"Prioridad 1")</f>
        <v>Prioridad 1</v>
      </c>
    </row>
    <row r="2104" spans="2:9">
      <c r="B2104" s="25" t="str">
        <f ca="1">IFERROR(__xludf.DUMMYFUNCTION("""COMPUTED_VALUE"""),"UNIVERSIDAD PRIVADA")</f>
        <v>UNIVERSIDAD PRIVADA</v>
      </c>
      <c r="C2104" s="25" t="str">
        <f ca="1">IFERROR(__xludf.DUMMYFUNCTION("""COMPUTED_VALUE"""),"UNIVERSIDAD LATINOAMERICANA CIMA SOCIEDAD ANÓNIMA CERRADA")</f>
        <v>UNIVERSIDAD LATINOAMERICANA CIMA SOCIEDAD ANÓNIMA CERRADA</v>
      </c>
      <c r="D2104" s="25" t="str">
        <f ca="1">IFERROR(__xludf.DUMMYFUNCTION("""COMPUTED_VALUE"""),"TACNA")</f>
        <v>TACNA</v>
      </c>
      <c r="E2104" s="25" t="str">
        <f ca="1">IFERROR(__xludf.DUMMYFUNCTION("""COMPUTED_VALUE"""),"TACNA")</f>
        <v>TACNA</v>
      </c>
      <c r="F2104" s="25"/>
      <c r="G2104" s="25"/>
      <c r="H2104" s="25"/>
      <c r="I2104" s="25" t="str">
        <f ca="1">IFERROR(__xludf.DUMMYFUNCTION("""COMPUTED_VALUE"""),"Prioridad 4")</f>
        <v>Prioridad 4</v>
      </c>
    </row>
    <row r="2105" spans="2:9">
      <c r="B2105" s="25" t="str">
        <f ca="1">IFERROR(__xludf.DUMMYFUNCTION("""COMPUTED_VALUE"""),"OTROS")</f>
        <v>OTROS</v>
      </c>
      <c r="C2105" s="25" t="str">
        <f ca="1">IFERROR(__xludf.DUMMYFUNCTION("""COMPUTED_VALUE"""),"ESCUELA SUPERIOR DE FORMACIÓN ARTÍSTICA PUBLICA "" FRANCISCO LASO "" DE TACNA")</f>
        <v>ESCUELA SUPERIOR DE FORMACIÓN ARTÍSTICA PUBLICA " FRANCISCO LASO " DE TACNA</v>
      </c>
      <c r="D2105" s="25" t="str">
        <f ca="1">IFERROR(__xludf.DUMMYFUNCTION("""COMPUTED_VALUE"""),"TACNA")</f>
        <v>TACNA</v>
      </c>
      <c r="E2105" s="25" t="str">
        <f ca="1">IFERROR(__xludf.DUMMYFUNCTION("""COMPUTED_VALUE"""),"TACNA")</f>
        <v>TACNA</v>
      </c>
      <c r="F2105" s="25" t="str">
        <f ca="1">IFERROR(__xludf.DUMMYFUNCTION("""COMPUTED_VALUE"""),"TACNA")</f>
        <v>TACNA</v>
      </c>
      <c r="G2105" s="25" t="str">
        <f ca="1">IFERROR(__xludf.DUMMYFUNCTION("""COMPUTED_VALUE"""),"TACNA")</f>
        <v>TACNA</v>
      </c>
      <c r="H2105" s="25"/>
      <c r="I2105" s="25" t="str">
        <f ca="1">IFERROR(__xludf.DUMMYFUNCTION("""COMPUTED_VALUE"""),"No aplica")</f>
        <v>No aplica</v>
      </c>
    </row>
    <row r="2106" spans="2:9">
      <c r="B2106" s="25" t="str">
        <f ca="1">IFERROR(__xludf.DUMMYFUNCTION("""COMPUTED_VALUE"""),"COLEGIO PROFESIONAL")</f>
        <v>COLEGIO PROFESIONAL</v>
      </c>
      <c r="C2106" s="25" t="str">
        <f ca="1">IFERROR(__xludf.DUMMYFUNCTION("""COMPUTED_VALUE"""),"COLEGIO DE NOTARIOS DE LORETO")</f>
        <v>COLEGIO DE NOTARIOS DE LORETO</v>
      </c>
      <c r="D2106" s="25" t="str">
        <f ca="1">IFERROR(__xludf.DUMMYFUNCTION("""COMPUTED_VALUE"""),"LORETO")</f>
        <v>LORETO</v>
      </c>
      <c r="E2106" s="25" t="str">
        <f ca="1">IFERROR(__xludf.DUMMYFUNCTION("""COMPUTED_VALUE"""),"LORETO")</f>
        <v>LORETO</v>
      </c>
      <c r="F2106" s="25" t="str">
        <f ca="1">IFERROR(__xludf.DUMMYFUNCTION("""COMPUTED_VALUE"""),"MAYNAS")</f>
        <v>MAYNAS</v>
      </c>
      <c r="G2106" s="25" t="str">
        <f ca="1">IFERROR(__xludf.DUMMYFUNCTION("""COMPUTED_VALUE"""),"IQUITOS")</f>
        <v>IQUITOS</v>
      </c>
      <c r="H2106" s="25"/>
      <c r="I2106" s="25" t="str">
        <f ca="1">IFERROR(__xludf.DUMMYFUNCTION("""COMPUTED_VALUE"""),"Prioridad 3")</f>
        <v>Prioridad 3</v>
      </c>
    </row>
    <row r="2107" spans="2:9">
      <c r="B2107" s="25" t="str">
        <f ca="1">IFERROR(__xludf.DUMMYFUNCTION("""COMPUTED_VALUE"""),"COLEGIO PROFESIONAL")</f>
        <v>COLEGIO PROFESIONAL</v>
      </c>
      <c r="C2107" s="25" t="str">
        <f ca="1">IFERROR(__xludf.DUMMYFUNCTION("""COMPUTED_VALUE"""),"COLEGIO DE NOTARIOS DE MOQUEGUA")</f>
        <v>COLEGIO DE NOTARIOS DE MOQUEGUA</v>
      </c>
      <c r="D2107" s="25" t="str">
        <f ca="1">IFERROR(__xludf.DUMMYFUNCTION("""COMPUTED_VALUE"""),"TACNA")</f>
        <v>TACNA</v>
      </c>
      <c r="E2107" s="25" t="str">
        <f ca="1">IFERROR(__xludf.DUMMYFUNCTION("""COMPUTED_VALUE"""),"MOQUEGUA")</f>
        <v>MOQUEGUA</v>
      </c>
      <c r="F2107" s="25" t="str">
        <f ca="1">IFERROR(__xludf.DUMMYFUNCTION("""COMPUTED_VALUE"""),"MARISCAL NIETO")</f>
        <v>MARISCAL NIETO</v>
      </c>
      <c r="G2107" s="25" t="str">
        <f ca="1">IFERROR(__xludf.DUMMYFUNCTION("""COMPUTED_VALUE"""),"MOQUEGUA")</f>
        <v>MOQUEGUA</v>
      </c>
      <c r="H2107" s="25"/>
      <c r="I2107" s="25" t="str">
        <f ca="1">IFERROR(__xludf.DUMMYFUNCTION("""COMPUTED_VALUE"""),"Prioridad 1")</f>
        <v>Prioridad 1</v>
      </c>
    </row>
    <row r="2108" spans="2:9">
      <c r="B2108" s="25" t="str">
        <f ca="1">IFERROR(__xludf.DUMMYFUNCTION("""COMPUTED_VALUE"""),"COLEGIO PROFESIONAL")</f>
        <v>COLEGIO PROFESIONAL</v>
      </c>
      <c r="C2108" s="25" t="str">
        <f ca="1">IFERROR(__xludf.DUMMYFUNCTION("""COMPUTED_VALUE"""),"COLEGIO DE NOTARIOS DE PIURA Y TUMBES")</f>
        <v>COLEGIO DE NOTARIOS DE PIURA Y TUMBES</v>
      </c>
      <c r="D2108" s="25" t="str">
        <f ca="1">IFERROR(__xludf.DUMMYFUNCTION("""COMPUTED_VALUE"""),"PIURA")</f>
        <v>PIURA</v>
      </c>
      <c r="E2108" s="25" t="str">
        <f ca="1">IFERROR(__xludf.DUMMYFUNCTION("""COMPUTED_VALUE"""),"PIURA")</f>
        <v>PIURA</v>
      </c>
      <c r="F2108" s="25" t="str">
        <f ca="1">IFERROR(__xludf.DUMMYFUNCTION("""COMPUTED_VALUE"""),"PIURA")</f>
        <v>PIURA</v>
      </c>
      <c r="G2108" s="25" t="str">
        <f ca="1">IFERROR(__xludf.DUMMYFUNCTION("""COMPUTED_VALUE"""),"CASTILLA")</f>
        <v>CASTILLA</v>
      </c>
      <c r="H2108" s="25"/>
      <c r="I2108" s="25" t="str">
        <f ca="1">IFERROR(__xludf.DUMMYFUNCTION("""COMPUTED_VALUE"""),"Prioridad 2")</f>
        <v>Prioridad 2</v>
      </c>
    </row>
    <row r="2109" spans="2:9">
      <c r="B2109" s="25" t="str">
        <f ca="1">IFERROR(__xludf.DUMMYFUNCTION("""COMPUTED_VALUE"""),"COLEGIO PROFESIONAL")</f>
        <v>COLEGIO PROFESIONAL</v>
      </c>
      <c r="C2109" s="25" t="str">
        <f ca="1">IFERROR(__xludf.DUMMYFUNCTION("""COMPUTED_VALUE"""),"COLEGIO DE NOTARIOS DE PUNO")</f>
        <v>COLEGIO DE NOTARIOS DE PUNO</v>
      </c>
      <c r="D2109" s="25" t="str">
        <f ca="1">IFERROR(__xludf.DUMMYFUNCTION("""COMPUTED_VALUE"""),"PUNO")</f>
        <v>PUNO</v>
      </c>
      <c r="E2109" s="25" t="str">
        <f ca="1">IFERROR(__xludf.DUMMYFUNCTION("""COMPUTED_VALUE"""),"PUNO")</f>
        <v>PUNO</v>
      </c>
      <c r="F2109" s="25" t="str">
        <f ca="1">IFERROR(__xludf.DUMMYFUNCTION("""COMPUTED_VALUE"""),"PUNO")</f>
        <v>PUNO</v>
      </c>
      <c r="G2109" s="25" t="str">
        <f ca="1">IFERROR(__xludf.DUMMYFUNCTION("""COMPUTED_VALUE"""),"PUNO")</f>
        <v>PUNO</v>
      </c>
      <c r="H2109" s="25"/>
      <c r="I2109" s="25" t="str">
        <f ca="1">IFERROR(__xludf.DUMMYFUNCTION("""COMPUTED_VALUE"""),"Prioridad 1")</f>
        <v>Prioridad 1</v>
      </c>
    </row>
    <row r="2110" spans="2:9">
      <c r="B2110" s="25" t="str">
        <f ca="1">IFERROR(__xludf.DUMMYFUNCTION("""COMPUTED_VALUE"""),"COLEGIO PROFESIONAL")</f>
        <v>COLEGIO PROFESIONAL</v>
      </c>
      <c r="C2110" s="25" t="str">
        <f ca="1">IFERROR(__xludf.DUMMYFUNCTION("""COMPUTED_VALUE"""),"COLEGIO DE NOTARIOS DE SAN MARTÍN")</f>
        <v>COLEGIO DE NOTARIOS DE SAN MARTÍN</v>
      </c>
      <c r="D2110" s="25" t="str">
        <f ca="1">IFERROR(__xludf.DUMMYFUNCTION("""COMPUTED_VALUE"""),"SAN MARTÍN")</f>
        <v>SAN MARTÍN</v>
      </c>
      <c r="E2110" s="25" t="str">
        <f ca="1">IFERROR(__xludf.DUMMYFUNCTION("""COMPUTED_VALUE"""),"SAN MARTÍN")</f>
        <v>SAN MARTÍN</v>
      </c>
      <c r="F2110" s="25" t="str">
        <f ca="1">IFERROR(__xludf.DUMMYFUNCTION("""COMPUTED_VALUE"""),"SAN MARTIN")</f>
        <v>SAN MARTIN</v>
      </c>
      <c r="G2110" s="25" t="str">
        <f ca="1">IFERROR(__xludf.DUMMYFUNCTION("""COMPUTED_VALUE"""),"SAN MARTIN")</f>
        <v>SAN MARTIN</v>
      </c>
      <c r="H2110" s="25"/>
      <c r="I2110" s="25" t="str">
        <f ca="1">IFERROR(__xludf.DUMMYFUNCTION("""COMPUTED_VALUE"""),"Prioridad 5")</f>
        <v>Prioridad 5</v>
      </c>
    </row>
    <row r="2111" spans="2:9">
      <c r="B2111" s="25" t="str">
        <f ca="1">IFERROR(__xludf.DUMMYFUNCTION("""COMPUTED_VALUE"""),"COLEGIO PROFESIONAL")</f>
        <v>COLEGIO PROFESIONAL</v>
      </c>
      <c r="C2111" s="25" t="str">
        <f ca="1">IFERROR(__xludf.DUMMYFUNCTION("""COMPUTED_VALUE"""),"COLEGIO DE NOTARIOS DE TACNA")</f>
        <v>COLEGIO DE NOTARIOS DE TACNA</v>
      </c>
      <c r="D2111" s="25" t="str">
        <f ca="1">IFERROR(__xludf.DUMMYFUNCTION("""COMPUTED_VALUE"""),"TACNA")</f>
        <v>TACNA</v>
      </c>
      <c r="E2111" s="25" t="str">
        <f ca="1">IFERROR(__xludf.DUMMYFUNCTION("""COMPUTED_VALUE"""),"TACNA")</f>
        <v>TACNA</v>
      </c>
      <c r="F2111" s="25" t="str">
        <f ca="1">IFERROR(__xludf.DUMMYFUNCTION("""COMPUTED_VALUE"""),"TACNA")</f>
        <v>TACNA</v>
      </c>
      <c r="G2111" s="25" t="str">
        <f ca="1">IFERROR(__xludf.DUMMYFUNCTION("""COMPUTED_VALUE"""),"TACNA")</f>
        <v>TACNA</v>
      </c>
      <c r="H2111" s="25"/>
      <c r="I2111" s="25" t="str">
        <f ca="1">IFERROR(__xludf.DUMMYFUNCTION("""COMPUTED_VALUE"""),"Prioridad 3")</f>
        <v>Prioridad 3</v>
      </c>
    </row>
    <row r="2112" spans="2:9">
      <c r="B2112" s="25" t="str">
        <f ca="1">IFERROR(__xludf.DUMMYFUNCTION("""COMPUTED_VALUE"""),"COLEGIO PROFESIONAL")</f>
        <v>COLEGIO PROFESIONAL</v>
      </c>
      <c r="C2112" s="25" t="str">
        <f ca="1">IFERROR(__xludf.DUMMYFUNCTION("""COMPUTED_VALUE"""),"COLEGIO DE NOTARIOS DE UCAYALI")</f>
        <v>COLEGIO DE NOTARIOS DE UCAYALI</v>
      </c>
      <c r="D2112" s="25" t="str">
        <f ca="1">IFERROR(__xludf.DUMMYFUNCTION("""COMPUTED_VALUE"""),"LORETO")</f>
        <v>LORETO</v>
      </c>
      <c r="E2112" s="25" t="str">
        <f ca="1">IFERROR(__xludf.DUMMYFUNCTION("""COMPUTED_VALUE"""),"UCAYALI")</f>
        <v>UCAYALI</v>
      </c>
      <c r="F2112" s="25" t="str">
        <f ca="1">IFERROR(__xludf.DUMMYFUNCTION("""COMPUTED_VALUE"""),"CORONEL PORTILLO")</f>
        <v>CORONEL PORTILLO</v>
      </c>
      <c r="G2112" s="25" t="str">
        <f ca="1">IFERROR(__xludf.DUMMYFUNCTION("""COMPUTED_VALUE"""),"CALLERIA")</f>
        <v>CALLERIA</v>
      </c>
      <c r="H2112" s="25"/>
      <c r="I2112" s="25" t="str">
        <f ca="1">IFERROR(__xludf.DUMMYFUNCTION("""COMPUTED_VALUE"""),"Prioridad 2")</f>
        <v>Prioridad 2</v>
      </c>
    </row>
    <row r="2113" spans="2:9">
      <c r="B2113" s="25" t="str">
        <f ca="1">IFERROR(__xludf.DUMMYFUNCTION("""COMPUTED_VALUE"""),"COLEGIO PROFESIONAL")</f>
        <v>COLEGIO PROFESIONAL</v>
      </c>
      <c r="C2113" s="25" t="str">
        <f ca="1">IFERROR(__xludf.DUMMYFUNCTION("""COMPUTED_VALUE"""),"COLEGIO DE ECONOMISTAS DE AMAZONAS")</f>
        <v>COLEGIO DE ECONOMISTAS DE AMAZONAS</v>
      </c>
      <c r="D2113" s="25" t="str">
        <f ca="1">IFERROR(__xludf.DUMMYFUNCTION("""COMPUTED_VALUE"""),"LORETO")</f>
        <v>LORETO</v>
      </c>
      <c r="E2113" s="25" t="str">
        <f ca="1">IFERROR(__xludf.DUMMYFUNCTION("""COMPUTED_VALUE"""),"AMAZONAS")</f>
        <v>AMAZONAS</v>
      </c>
      <c r="F2113" s="25" t="str">
        <f ca="1">IFERROR(__xludf.DUMMYFUNCTION("""COMPUTED_VALUE"""),"CHACHAPOYAS")</f>
        <v>CHACHAPOYAS</v>
      </c>
      <c r="G2113" s="25" t="str">
        <f ca="1">IFERROR(__xludf.DUMMYFUNCTION("""COMPUTED_VALUE"""),"CHACHAPOYAS")</f>
        <v>CHACHAPOYAS</v>
      </c>
      <c r="H2113" s="25"/>
      <c r="I2113" s="25" t="str">
        <f ca="1">IFERROR(__xludf.DUMMYFUNCTION("""COMPUTED_VALUE"""),"Prioridad 5")</f>
        <v>Prioridad 5</v>
      </c>
    </row>
    <row r="2114" spans="2:9">
      <c r="B2114" s="25" t="str">
        <f ca="1">IFERROR(__xludf.DUMMYFUNCTION("""COMPUTED_VALUE"""),"COLEGIO PROFESIONAL")</f>
        <v>COLEGIO PROFESIONAL</v>
      </c>
      <c r="C2114" s="25" t="str">
        <f ca="1">IFERROR(__xludf.DUMMYFUNCTION("""COMPUTED_VALUE"""),"COLEGIO DE ECONOMISTAS DE ANCASH")</f>
        <v>COLEGIO DE ECONOMISTAS DE ANCASH</v>
      </c>
      <c r="D2114" s="25" t="str">
        <f ca="1">IFERROR(__xludf.DUMMYFUNCTION("""COMPUTED_VALUE"""),"LA LIBERTAD")</f>
        <v>LA LIBERTAD</v>
      </c>
      <c r="E2114" s="25" t="str">
        <f ca="1">IFERROR(__xludf.DUMMYFUNCTION("""COMPUTED_VALUE"""),"ANCASH")</f>
        <v>ANCASH</v>
      </c>
      <c r="F2114" s="25" t="str">
        <f ca="1">IFERROR(__xludf.DUMMYFUNCTION("""COMPUTED_VALUE"""),"HUARAZ")</f>
        <v>HUARAZ</v>
      </c>
      <c r="G2114" s="25" t="str">
        <f ca="1">IFERROR(__xludf.DUMMYFUNCTION("""COMPUTED_VALUE"""),"HUARAZ")</f>
        <v>HUARAZ</v>
      </c>
      <c r="H2114" s="25"/>
      <c r="I2114" s="25" t="str">
        <f ca="1">IFERROR(__xludf.DUMMYFUNCTION("""COMPUTED_VALUE"""),"Prioridad 4")</f>
        <v>Prioridad 4</v>
      </c>
    </row>
    <row r="2115" spans="2:9">
      <c r="B2115" s="25" t="str">
        <f ca="1">IFERROR(__xludf.DUMMYFUNCTION("""COMPUTED_VALUE"""),"COLEGIO PROFESIONAL")</f>
        <v>COLEGIO PROFESIONAL</v>
      </c>
      <c r="C2115" s="25" t="str">
        <f ca="1">IFERROR(__xludf.DUMMYFUNCTION("""COMPUTED_VALUE"""),"COLEGIO DE ECONOMISTAS DE AREQUIPA")</f>
        <v>COLEGIO DE ECONOMISTAS DE AREQUIPA</v>
      </c>
      <c r="D2115" s="25" t="str">
        <f ca="1">IFERROR(__xludf.DUMMYFUNCTION("""COMPUTED_VALUE"""),"AREQUIPA")</f>
        <v>AREQUIPA</v>
      </c>
      <c r="E2115" s="25" t="str">
        <f ca="1">IFERROR(__xludf.DUMMYFUNCTION("""COMPUTED_VALUE"""),"AREQUIPA")</f>
        <v>AREQUIPA</v>
      </c>
      <c r="F2115" s="25" t="str">
        <f ca="1">IFERROR(__xludf.DUMMYFUNCTION("""COMPUTED_VALUE"""),"AREQUIPA")</f>
        <v>AREQUIPA</v>
      </c>
      <c r="G2115" s="25" t="str">
        <f ca="1">IFERROR(__xludf.DUMMYFUNCTION("""COMPUTED_VALUE"""),"AREQUIPA")</f>
        <v>AREQUIPA</v>
      </c>
      <c r="H2115" s="25"/>
      <c r="I2115" s="25" t="str">
        <f ca="1">IFERROR(__xludf.DUMMYFUNCTION("""COMPUTED_VALUE"""),"Prioridad 4")</f>
        <v>Prioridad 4</v>
      </c>
    </row>
    <row r="2116" spans="2:9">
      <c r="B2116" s="25" t="str">
        <f ca="1">IFERROR(__xludf.DUMMYFUNCTION("""COMPUTED_VALUE"""),"COLEGIO PROFESIONAL")</f>
        <v>COLEGIO PROFESIONAL</v>
      </c>
      <c r="C2116" s="25" t="str">
        <f ca="1">IFERROR(__xludf.DUMMYFUNCTION("""COMPUTED_VALUE"""),"COLEGIO DE ECONOMISTAS DE AYACUCHO")</f>
        <v>COLEGIO DE ECONOMISTAS DE AYACUCHO</v>
      </c>
      <c r="D2116" s="25" t="str">
        <f ca="1">IFERROR(__xludf.DUMMYFUNCTION("""COMPUTED_VALUE"""),"ICA")</f>
        <v>ICA</v>
      </c>
      <c r="E2116" s="25" t="str">
        <f ca="1">IFERROR(__xludf.DUMMYFUNCTION("""COMPUTED_VALUE"""),"AYACUCHO")</f>
        <v>AYACUCHO</v>
      </c>
      <c r="F2116" s="25" t="str">
        <f ca="1">IFERROR(__xludf.DUMMYFUNCTION("""COMPUTED_VALUE"""),"HUAMANGA")</f>
        <v>HUAMANGA</v>
      </c>
      <c r="G2116" s="25" t="str">
        <f ca="1">IFERROR(__xludf.DUMMYFUNCTION("""COMPUTED_VALUE"""),"AYACUCHO")</f>
        <v>AYACUCHO</v>
      </c>
      <c r="H2116" s="25"/>
      <c r="I2116" s="25" t="str">
        <f ca="1">IFERROR(__xludf.DUMMYFUNCTION("""COMPUTED_VALUE"""),"Prioridad 3")</f>
        <v>Prioridad 3</v>
      </c>
    </row>
    <row r="2117" spans="2:9">
      <c r="B2117" s="25" t="str">
        <f ca="1">IFERROR(__xludf.DUMMYFUNCTION("""COMPUTED_VALUE"""),"COLEGIO PROFESIONAL")</f>
        <v>COLEGIO PROFESIONAL</v>
      </c>
      <c r="C2117" s="25" t="str">
        <f ca="1">IFERROR(__xludf.DUMMYFUNCTION("""COMPUTED_VALUE"""),"COLEGIO DE ECONOMISTAS DE CAJAMARCA")</f>
        <v>COLEGIO DE ECONOMISTAS DE CAJAMARCA</v>
      </c>
      <c r="D2117" s="25" t="str">
        <f ca="1">IFERROR(__xludf.DUMMYFUNCTION("""COMPUTED_VALUE"""),"CAJAMARCA")</f>
        <v>CAJAMARCA</v>
      </c>
      <c r="E2117" s="25" t="str">
        <f ca="1">IFERROR(__xludf.DUMMYFUNCTION("""COMPUTED_VALUE"""),"CAJAMARCA")</f>
        <v>CAJAMARCA</v>
      </c>
      <c r="F2117" s="25" t="str">
        <f ca="1">IFERROR(__xludf.DUMMYFUNCTION("""COMPUTED_VALUE"""),"CAJAMARCA")</f>
        <v>CAJAMARCA</v>
      </c>
      <c r="G2117" s="25" t="str">
        <f ca="1">IFERROR(__xludf.DUMMYFUNCTION("""COMPUTED_VALUE"""),"CAJAMARCA")</f>
        <v>CAJAMARCA</v>
      </c>
      <c r="H2117" s="25"/>
      <c r="I2117" s="25" t="str">
        <f ca="1">IFERROR(__xludf.DUMMYFUNCTION("""COMPUTED_VALUE"""),"Prioridad 5")</f>
        <v>Prioridad 5</v>
      </c>
    </row>
    <row r="2118" spans="2:9">
      <c r="B2118" s="25" t="str">
        <f ca="1">IFERROR(__xludf.DUMMYFUNCTION("""COMPUTED_VALUE"""),"COLEGIO PROFESIONAL")</f>
        <v>COLEGIO PROFESIONAL</v>
      </c>
      <c r="C2118" s="25" t="str">
        <f ca="1">IFERROR(__xludf.DUMMYFUNCTION("""COMPUTED_VALUE"""),"COLEGIO DE ECONOMISTAS DE CUSCO")</f>
        <v>COLEGIO DE ECONOMISTAS DE CUSCO</v>
      </c>
      <c r="D2118" s="25" t="str">
        <f ca="1">IFERROR(__xludf.DUMMYFUNCTION("""COMPUTED_VALUE"""),"CUZCO")</f>
        <v>CUZCO</v>
      </c>
      <c r="E2118" s="25" t="str">
        <f ca="1">IFERROR(__xludf.DUMMYFUNCTION("""COMPUTED_VALUE"""),"CUZCO")</f>
        <v>CUZCO</v>
      </c>
      <c r="F2118" s="25" t="str">
        <f ca="1">IFERROR(__xludf.DUMMYFUNCTION("""COMPUTED_VALUE"""),"CUZCO")</f>
        <v>CUZCO</v>
      </c>
      <c r="G2118" s="25" t="str">
        <f ca="1">IFERROR(__xludf.DUMMYFUNCTION("""COMPUTED_VALUE"""),"CUZCO")</f>
        <v>CUZCO</v>
      </c>
      <c r="H2118" s="25"/>
      <c r="I2118" s="25" t="str">
        <f ca="1">IFERROR(__xludf.DUMMYFUNCTION("""COMPUTED_VALUE"""),"Prioridad 1")</f>
        <v>Prioridad 1</v>
      </c>
    </row>
    <row r="2119" spans="2:9">
      <c r="B2119" s="25" t="str">
        <f ca="1">IFERROR(__xludf.DUMMYFUNCTION("""COMPUTED_VALUE"""),"COLEGIO PROFESIONAL")</f>
        <v>COLEGIO PROFESIONAL</v>
      </c>
      <c r="C2119" s="25" t="str">
        <f ca="1">IFERROR(__xludf.DUMMYFUNCTION("""COMPUTED_VALUE"""),"COLEGIO DE ECONOMISTAS DE HUANCAVELÍCA")</f>
        <v>COLEGIO DE ECONOMISTAS DE HUANCAVELÍCA</v>
      </c>
      <c r="D2119" s="25" t="str">
        <f ca="1">IFERROR(__xludf.DUMMYFUNCTION("""COMPUTED_VALUE"""),"JUNÍN")</f>
        <v>JUNÍN</v>
      </c>
      <c r="E2119" s="25" t="str">
        <f ca="1">IFERROR(__xludf.DUMMYFUNCTION("""COMPUTED_VALUE"""),"HUANCAVELICA")</f>
        <v>HUANCAVELICA</v>
      </c>
      <c r="F2119" s="25" t="str">
        <f ca="1">IFERROR(__xludf.DUMMYFUNCTION("""COMPUTED_VALUE"""),"HUANCAVELICA")</f>
        <v>HUANCAVELICA</v>
      </c>
      <c r="G2119" s="25" t="str">
        <f ca="1">IFERROR(__xludf.DUMMYFUNCTION("""COMPUTED_VALUE"""),"HUANCAVELICA")</f>
        <v>HUANCAVELICA</v>
      </c>
      <c r="H2119" s="25"/>
      <c r="I2119" s="25" t="str">
        <f ca="1">IFERROR(__xludf.DUMMYFUNCTION("""COMPUTED_VALUE"""),"Prioridad 5")</f>
        <v>Prioridad 5</v>
      </c>
    </row>
    <row r="2120" spans="2:9">
      <c r="B2120" s="25" t="str">
        <f ca="1">IFERROR(__xludf.DUMMYFUNCTION("""COMPUTED_VALUE"""),"COLEGIO PROFESIONAL")</f>
        <v>COLEGIO PROFESIONAL</v>
      </c>
      <c r="C2120" s="25" t="str">
        <f ca="1">IFERROR(__xludf.DUMMYFUNCTION("""COMPUTED_VALUE"""),"COLEGIO DE ECONOMISTAS DE HUÁNUCO")</f>
        <v>COLEGIO DE ECONOMISTAS DE HUÁNUCO</v>
      </c>
      <c r="D2120" s="25" t="str">
        <f ca="1">IFERROR(__xludf.DUMMYFUNCTION("""COMPUTED_VALUE"""),"JUNÍN")</f>
        <v>JUNÍN</v>
      </c>
      <c r="E2120" s="25" t="str">
        <f ca="1">IFERROR(__xludf.DUMMYFUNCTION("""COMPUTED_VALUE"""),"HUÁNUCO")</f>
        <v>HUÁNUCO</v>
      </c>
      <c r="F2120" s="25" t="str">
        <f ca="1">IFERROR(__xludf.DUMMYFUNCTION("""COMPUTED_VALUE"""),"HUANUCO")</f>
        <v>HUANUCO</v>
      </c>
      <c r="G2120" s="25" t="str">
        <f ca="1">IFERROR(__xludf.DUMMYFUNCTION("""COMPUTED_VALUE"""),"JUNÍN")</f>
        <v>JUNÍN</v>
      </c>
      <c r="H2120" s="25"/>
      <c r="I2120" s="25" t="str">
        <f ca="1">IFERROR(__xludf.DUMMYFUNCTION("""COMPUTED_VALUE"""),"Prioridad 2")</f>
        <v>Prioridad 2</v>
      </c>
    </row>
    <row r="2121" spans="2:9">
      <c r="B2121" s="25" t="str">
        <f ca="1">IFERROR(__xludf.DUMMYFUNCTION("""COMPUTED_VALUE"""),"COLEGIO PROFESIONAL")</f>
        <v>COLEGIO PROFESIONAL</v>
      </c>
      <c r="C2121" s="25" t="str">
        <f ca="1">IFERROR(__xludf.DUMMYFUNCTION("""COMPUTED_VALUE"""),"COLEGIO DE ECONOMISTAS DE ICA")</f>
        <v>COLEGIO DE ECONOMISTAS DE ICA</v>
      </c>
      <c r="D2121" s="25" t="str">
        <f ca="1">IFERROR(__xludf.DUMMYFUNCTION("""COMPUTED_VALUE"""),"ICA")</f>
        <v>ICA</v>
      </c>
      <c r="E2121" s="25" t="str">
        <f ca="1">IFERROR(__xludf.DUMMYFUNCTION("""COMPUTED_VALUE"""),"ICA")</f>
        <v>ICA</v>
      </c>
      <c r="F2121" s="25" t="str">
        <f ca="1">IFERROR(__xludf.DUMMYFUNCTION("""COMPUTED_VALUE"""),"ICA")</f>
        <v>ICA</v>
      </c>
      <c r="G2121" s="25" t="str">
        <f ca="1">IFERROR(__xludf.DUMMYFUNCTION("""COMPUTED_VALUE"""),"ICA")</f>
        <v>ICA</v>
      </c>
      <c r="H2121" s="25"/>
      <c r="I2121" s="25" t="str">
        <f ca="1">IFERROR(__xludf.DUMMYFUNCTION("""COMPUTED_VALUE"""),"Prioridad 4")</f>
        <v>Prioridad 4</v>
      </c>
    </row>
    <row r="2122" spans="2:9">
      <c r="B2122" s="25" t="str">
        <f ca="1">IFERROR(__xludf.DUMMYFUNCTION("""COMPUTED_VALUE"""),"COLEGIO PROFESIONAL")</f>
        <v>COLEGIO PROFESIONAL</v>
      </c>
      <c r="C2122" s="25" t="str">
        <f ca="1">IFERROR(__xludf.DUMMYFUNCTION("""COMPUTED_VALUE"""),"COLEGIO DE ECONOMISTAS DE JUNÍN")</f>
        <v>COLEGIO DE ECONOMISTAS DE JUNÍN</v>
      </c>
      <c r="D2122" s="25" t="str">
        <f ca="1">IFERROR(__xludf.DUMMYFUNCTION("""COMPUTED_VALUE"""),"JUNÍN")</f>
        <v>JUNÍN</v>
      </c>
      <c r="E2122" s="25" t="str">
        <f ca="1">IFERROR(__xludf.DUMMYFUNCTION("""COMPUTED_VALUE"""),"JUNÍN")</f>
        <v>JUNÍN</v>
      </c>
      <c r="F2122" s="25" t="str">
        <f ca="1">IFERROR(__xludf.DUMMYFUNCTION("""COMPUTED_VALUE"""),"HUANCAYO")</f>
        <v>HUANCAYO</v>
      </c>
      <c r="G2122" s="25" t="str">
        <f ca="1">IFERROR(__xludf.DUMMYFUNCTION("""COMPUTED_VALUE"""),"HUANCAYO")</f>
        <v>HUANCAYO</v>
      </c>
      <c r="H2122" s="25"/>
      <c r="I2122" s="25" t="str">
        <f ca="1">IFERROR(__xludf.DUMMYFUNCTION("""COMPUTED_VALUE"""),"Prioridad 3")</f>
        <v>Prioridad 3</v>
      </c>
    </row>
    <row r="2123" spans="2:9">
      <c r="B2123" s="25" t="str">
        <f ca="1">IFERROR(__xludf.DUMMYFUNCTION("""COMPUTED_VALUE"""),"COLEGIO PROFESIONAL")</f>
        <v>COLEGIO PROFESIONAL</v>
      </c>
      <c r="C2123" s="25" t="str">
        <f ca="1">IFERROR(__xludf.DUMMYFUNCTION("""COMPUTED_VALUE"""),"ILUSTRE COLEGIO DE ABOGADOS DE TUMBES")</f>
        <v>ILUSTRE COLEGIO DE ABOGADOS DE TUMBES</v>
      </c>
      <c r="D2123" s="25" t="str">
        <f ca="1">IFERROR(__xludf.DUMMYFUNCTION("""COMPUTED_VALUE"""),"PIURA")</f>
        <v>PIURA</v>
      </c>
      <c r="E2123" s="25" t="str">
        <f ca="1">IFERROR(__xludf.DUMMYFUNCTION("""COMPUTED_VALUE"""),"TUMBES")</f>
        <v>TUMBES</v>
      </c>
      <c r="F2123" s="25" t="str">
        <f ca="1">IFERROR(__xludf.DUMMYFUNCTION("""COMPUTED_VALUE"""),"TUMBES")</f>
        <v>TUMBES</v>
      </c>
      <c r="G2123" s="25" t="str">
        <f ca="1">IFERROR(__xludf.DUMMYFUNCTION("""COMPUTED_VALUE"""),"TUMBES")</f>
        <v>TUMBES</v>
      </c>
      <c r="H2123" s="25"/>
      <c r="I2123" s="25" t="str">
        <f ca="1">IFERROR(__xludf.DUMMYFUNCTION("""COMPUTED_VALUE"""),"Prioridad 4")</f>
        <v>Prioridad 4</v>
      </c>
    </row>
    <row r="2124" spans="2:9">
      <c r="B2124" s="25" t="str">
        <f ca="1">IFERROR(__xludf.DUMMYFUNCTION("""COMPUTED_VALUE"""),"COLEGIO PROFESIONAL")</f>
        <v>COLEGIO PROFESIONAL</v>
      </c>
      <c r="C2124" s="25" t="str">
        <f ca="1">IFERROR(__xludf.DUMMYFUNCTION("""COMPUTED_VALUE"""),"COLEGIO DE ECONOMISTAS DE LA LIBERTAD")</f>
        <v>COLEGIO DE ECONOMISTAS DE LA LIBERTAD</v>
      </c>
      <c r="D2124" s="25" t="str">
        <f ca="1">IFERROR(__xludf.DUMMYFUNCTION("""COMPUTED_VALUE"""),"LA LIBERTAD")</f>
        <v>LA LIBERTAD</v>
      </c>
      <c r="E2124" s="25" t="str">
        <f ca="1">IFERROR(__xludf.DUMMYFUNCTION("""COMPUTED_VALUE"""),"LA LIBERTAD")</f>
        <v>LA LIBERTAD</v>
      </c>
      <c r="F2124" s="25" t="str">
        <f ca="1">IFERROR(__xludf.DUMMYFUNCTION("""COMPUTED_VALUE"""),"TRUJILLO")</f>
        <v>TRUJILLO</v>
      </c>
      <c r="G2124" s="25" t="str">
        <f ca="1">IFERROR(__xludf.DUMMYFUNCTION("""COMPUTED_VALUE"""),"TRUJILLO")</f>
        <v>TRUJILLO</v>
      </c>
      <c r="H2124" s="25"/>
      <c r="I2124" s="25" t="str">
        <f ca="1">IFERROR(__xludf.DUMMYFUNCTION("""COMPUTED_VALUE"""),"Prioridad 2")</f>
        <v>Prioridad 2</v>
      </c>
    </row>
    <row r="2125" spans="2:9">
      <c r="B2125" s="25" t="str">
        <f ca="1">IFERROR(__xludf.DUMMYFUNCTION("""COMPUTED_VALUE"""),"COLEGIO PROFESIONAL")</f>
        <v>COLEGIO PROFESIONAL</v>
      </c>
      <c r="C2125" s="25" t="str">
        <f ca="1">IFERROR(__xludf.DUMMYFUNCTION("""COMPUTED_VALUE"""),"COLEGIO DE ECONOMISTAS DE LAMBAYAQUE")</f>
        <v>COLEGIO DE ECONOMISTAS DE LAMBAYAQUE</v>
      </c>
      <c r="D2125" s="25" t="str">
        <f ca="1">IFERROR(__xludf.DUMMYFUNCTION("""COMPUTED_VALUE"""),"LAMBAYEQUE")</f>
        <v>LAMBAYEQUE</v>
      </c>
      <c r="E2125" s="25" t="str">
        <f ca="1">IFERROR(__xludf.DUMMYFUNCTION("""COMPUTED_VALUE"""),"LAMBAYEQUE")</f>
        <v>LAMBAYEQUE</v>
      </c>
      <c r="F2125" s="25" t="str">
        <f ca="1">IFERROR(__xludf.DUMMYFUNCTION("""COMPUTED_VALUE"""),"CHICLAYO")</f>
        <v>CHICLAYO</v>
      </c>
      <c r="G2125" s="25" t="str">
        <f ca="1">IFERROR(__xludf.DUMMYFUNCTION("""COMPUTED_VALUE"""),"CHICLAYO")</f>
        <v>CHICLAYO</v>
      </c>
      <c r="H2125" s="25"/>
      <c r="I2125" s="25" t="str">
        <f ca="1">IFERROR(__xludf.DUMMYFUNCTION("""COMPUTED_VALUE"""),"Prioridad 3")</f>
        <v>Prioridad 3</v>
      </c>
    </row>
    <row r="2126" spans="2:9">
      <c r="B2126" s="25" t="str">
        <f ca="1">IFERROR(__xludf.DUMMYFUNCTION("""COMPUTED_VALUE"""),"COLEGIO PROFESIONAL")</f>
        <v>COLEGIO PROFESIONAL</v>
      </c>
      <c r="C2126" s="25" t="str">
        <f ca="1">IFERROR(__xludf.DUMMYFUNCTION("""COMPUTED_VALUE"""),"COLEGIO DE ECONOMISTAS DE LORETO")</f>
        <v>COLEGIO DE ECONOMISTAS DE LORETO</v>
      </c>
      <c r="D2126" s="25" t="str">
        <f ca="1">IFERROR(__xludf.DUMMYFUNCTION("""COMPUTED_VALUE"""),"LORETO")</f>
        <v>LORETO</v>
      </c>
      <c r="E2126" s="25" t="str">
        <f ca="1">IFERROR(__xludf.DUMMYFUNCTION("""COMPUTED_VALUE"""),"LORETO")</f>
        <v>LORETO</v>
      </c>
      <c r="F2126" s="25" t="str">
        <f ca="1">IFERROR(__xludf.DUMMYFUNCTION("""COMPUTED_VALUE"""),"MAYNAS")</f>
        <v>MAYNAS</v>
      </c>
      <c r="G2126" s="25" t="str">
        <f ca="1">IFERROR(__xludf.DUMMYFUNCTION("""COMPUTED_VALUE"""),"IQUITOS")</f>
        <v>IQUITOS</v>
      </c>
      <c r="H2126" s="25"/>
      <c r="I2126" s="25" t="str">
        <f ca="1">IFERROR(__xludf.DUMMYFUNCTION("""COMPUTED_VALUE"""),"Prioridad 4")</f>
        <v>Prioridad 4</v>
      </c>
    </row>
    <row r="2127" spans="2:9">
      <c r="B2127" s="25" t="str">
        <f ca="1">IFERROR(__xludf.DUMMYFUNCTION("""COMPUTED_VALUE"""),"COLEGIO PROFESIONAL")</f>
        <v>COLEGIO PROFESIONAL</v>
      </c>
      <c r="C2127" s="25" t="str">
        <f ca="1">IFERROR(__xludf.DUMMYFUNCTION("""COMPUTED_VALUE"""),"ILUSTRE COLEGIO DE ABOGADOS DE UCAYALI")</f>
        <v>ILUSTRE COLEGIO DE ABOGADOS DE UCAYALI</v>
      </c>
      <c r="D2127" s="25" t="str">
        <f ca="1">IFERROR(__xludf.DUMMYFUNCTION("""COMPUTED_VALUE"""),"LORETO")</f>
        <v>LORETO</v>
      </c>
      <c r="E2127" s="25" t="str">
        <f ca="1">IFERROR(__xludf.DUMMYFUNCTION("""COMPUTED_VALUE"""),"UCAYALI")</f>
        <v>UCAYALI</v>
      </c>
      <c r="F2127" s="25" t="str">
        <f ca="1">IFERROR(__xludf.DUMMYFUNCTION("""COMPUTED_VALUE"""),"CORONEL PORTILLO")</f>
        <v>CORONEL PORTILLO</v>
      </c>
      <c r="G2127" s="25" t="str">
        <f ca="1">IFERROR(__xludf.DUMMYFUNCTION("""COMPUTED_VALUE"""),"CALLERIA")</f>
        <v>CALLERIA</v>
      </c>
      <c r="H2127" s="25"/>
      <c r="I2127" s="25" t="str">
        <f ca="1">IFERROR(__xludf.DUMMYFUNCTION("""COMPUTED_VALUE"""),"Prioridad 2")</f>
        <v>Prioridad 2</v>
      </c>
    </row>
    <row r="2128" spans="2:9">
      <c r="B2128" s="25" t="str">
        <f ca="1">IFERROR(__xludf.DUMMYFUNCTION("""COMPUTED_VALUE"""),"COLEGIO PROFESIONAL")</f>
        <v>COLEGIO PROFESIONAL</v>
      </c>
      <c r="C2128" s="25" t="str">
        <f ca="1">IFERROR(__xludf.DUMMYFUNCTION("""COMPUTED_VALUE"""),"COLEGIO DE ECONOMISTAS DE MADRE DE DIOS")</f>
        <v>COLEGIO DE ECONOMISTAS DE MADRE DE DIOS</v>
      </c>
      <c r="D2128" s="25" t="str">
        <f ca="1">IFERROR(__xludf.DUMMYFUNCTION("""COMPUTED_VALUE"""),"CUZCO")</f>
        <v>CUZCO</v>
      </c>
      <c r="E2128" s="25" t="str">
        <f ca="1">IFERROR(__xludf.DUMMYFUNCTION("""COMPUTED_VALUE"""),"MADRE DE DIOS")</f>
        <v>MADRE DE DIOS</v>
      </c>
      <c r="F2128" s="25" t="str">
        <f ca="1">IFERROR(__xludf.DUMMYFUNCTION("""COMPUTED_VALUE"""),"MANU")</f>
        <v>MANU</v>
      </c>
      <c r="G2128" s="25" t="str">
        <f ca="1">IFERROR(__xludf.DUMMYFUNCTION("""COMPUTED_VALUE"""),"MADRE DE DIOS")</f>
        <v>MADRE DE DIOS</v>
      </c>
      <c r="H2128" s="25"/>
      <c r="I2128" s="25" t="str">
        <f ca="1">IFERROR(__xludf.DUMMYFUNCTION("""COMPUTED_VALUE"""),"Prioridad 5")</f>
        <v>Prioridad 5</v>
      </c>
    </row>
    <row r="2129" spans="2:9">
      <c r="B2129" s="25" t="str">
        <f ca="1">IFERROR(__xludf.DUMMYFUNCTION("""COMPUTED_VALUE"""),"COLEGIO PROFESIONAL")</f>
        <v>COLEGIO PROFESIONAL</v>
      </c>
      <c r="C2129" s="25" t="str">
        <f ca="1">IFERROR(__xludf.DUMMYFUNCTION("""COMPUTED_VALUE"""),"COLEGIO DE ECONOMISTAS DE MOQUEGUA")</f>
        <v>COLEGIO DE ECONOMISTAS DE MOQUEGUA</v>
      </c>
      <c r="D2129" s="25" t="str">
        <f ca="1">IFERROR(__xludf.DUMMYFUNCTION("""COMPUTED_VALUE"""),"TACNA")</f>
        <v>TACNA</v>
      </c>
      <c r="E2129" s="25" t="str">
        <f ca="1">IFERROR(__xludf.DUMMYFUNCTION("""COMPUTED_VALUE"""),"MOQUEGUA")</f>
        <v>MOQUEGUA</v>
      </c>
      <c r="F2129" s="25" t="str">
        <f ca="1">IFERROR(__xludf.DUMMYFUNCTION("""COMPUTED_VALUE"""),"MARISCAL NIETO")</f>
        <v>MARISCAL NIETO</v>
      </c>
      <c r="G2129" s="25" t="str">
        <f ca="1">IFERROR(__xludf.DUMMYFUNCTION("""COMPUTED_VALUE"""),"SAMEGUA")</f>
        <v>SAMEGUA</v>
      </c>
      <c r="H2129" s="25"/>
      <c r="I2129" s="25" t="str">
        <f ca="1">IFERROR(__xludf.DUMMYFUNCTION("""COMPUTED_VALUE"""),"Prioridad 5")</f>
        <v>Prioridad 5</v>
      </c>
    </row>
    <row r="2130" spans="2:9">
      <c r="B2130" s="25" t="str">
        <f ca="1">IFERROR(__xludf.DUMMYFUNCTION("""COMPUTED_VALUE"""),"COLEGIO PROFESIONAL")</f>
        <v>COLEGIO PROFESIONAL</v>
      </c>
      <c r="C2130" s="25" t="str">
        <f ca="1">IFERROR(__xludf.DUMMYFUNCTION("""COMPUTED_VALUE"""),"COLEGIO DE ECONOMISTAS DE PASCO")</f>
        <v>COLEGIO DE ECONOMISTAS DE PASCO</v>
      </c>
      <c r="D2130" s="25" t="str">
        <f ca="1">IFERROR(__xludf.DUMMYFUNCTION("""COMPUTED_VALUE"""),"JUNÍN")</f>
        <v>JUNÍN</v>
      </c>
      <c r="E2130" s="25" t="str">
        <f ca="1">IFERROR(__xludf.DUMMYFUNCTION("""COMPUTED_VALUE"""),"PASCO")</f>
        <v>PASCO</v>
      </c>
      <c r="F2130" s="25" t="str">
        <f ca="1">IFERROR(__xludf.DUMMYFUNCTION("""COMPUTED_VALUE"""),"PASCO")</f>
        <v>PASCO</v>
      </c>
      <c r="G2130" s="25" t="str">
        <f ca="1">IFERROR(__xludf.DUMMYFUNCTION("""COMPUTED_VALUE"""),"YANACANCHA")</f>
        <v>YANACANCHA</v>
      </c>
      <c r="H2130" s="25"/>
      <c r="I2130" s="25" t="str">
        <f ca="1">IFERROR(__xludf.DUMMYFUNCTION("""COMPUTED_VALUE"""),"Prioridad 4")</f>
        <v>Prioridad 4</v>
      </c>
    </row>
    <row r="2131" spans="2:9">
      <c r="B2131" s="25" t="str">
        <f ca="1">IFERROR(__xludf.DUMMYFUNCTION("""COMPUTED_VALUE"""),"COLEGIO PROFESIONAL")</f>
        <v>COLEGIO PROFESIONAL</v>
      </c>
      <c r="C2131" s="25" t="str">
        <f ca="1">IFERROR(__xludf.DUMMYFUNCTION("""COMPUTED_VALUE"""),"COLEGIO DE ECONOMISTAS DE PIURA")</f>
        <v>COLEGIO DE ECONOMISTAS DE PIURA</v>
      </c>
      <c r="D2131" s="25" t="str">
        <f ca="1">IFERROR(__xludf.DUMMYFUNCTION("""COMPUTED_VALUE"""),"PIURA")</f>
        <v>PIURA</v>
      </c>
      <c r="E2131" s="25" t="str">
        <f ca="1">IFERROR(__xludf.DUMMYFUNCTION("""COMPUTED_VALUE"""),"PIURA")</f>
        <v>PIURA</v>
      </c>
      <c r="F2131" s="25" t="str">
        <f ca="1">IFERROR(__xludf.DUMMYFUNCTION("""COMPUTED_VALUE"""),"PIURA")</f>
        <v>PIURA</v>
      </c>
      <c r="G2131" s="25" t="str">
        <f ca="1">IFERROR(__xludf.DUMMYFUNCTION("""COMPUTED_VALUE"""),"PIURA")</f>
        <v>PIURA</v>
      </c>
      <c r="H2131" s="25"/>
      <c r="I2131" s="25" t="str">
        <f ca="1">IFERROR(__xludf.DUMMYFUNCTION("""COMPUTED_VALUE"""),"Prioridad 2")</f>
        <v>Prioridad 2</v>
      </c>
    </row>
    <row r="2132" spans="2:9">
      <c r="B2132" s="25" t="str">
        <f ca="1">IFERROR(__xludf.DUMMYFUNCTION("""COMPUTED_VALUE"""),"COLEGIO PROFESIONAL")</f>
        <v>COLEGIO PROFESIONAL</v>
      </c>
      <c r="C2132" s="25" t="str">
        <f ca="1">IFERROR(__xludf.DUMMYFUNCTION("""COMPUTED_VALUE"""),"COLEGIO DE ECONOMISTAS DE PUNO")</f>
        <v>COLEGIO DE ECONOMISTAS DE PUNO</v>
      </c>
      <c r="D2132" s="25" t="str">
        <f ca="1">IFERROR(__xludf.DUMMYFUNCTION("""COMPUTED_VALUE"""),"PUNO")</f>
        <v>PUNO</v>
      </c>
      <c r="E2132" s="25" t="str">
        <f ca="1">IFERROR(__xludf.DUMMYFUNCTION("""COMPUTED_VALUE"""),"PUNO")</f>
        <v>PUNO</v>
      </c>
      <c r="F2132" s="25" t="str">
        <f ca="1">IFERROR(__xludf.DUMMYFUNCTION("""COMPUTED_VALUE"""),"PUNO")</f>
        <v>PUNO</v>
      </c>
      <c r="G2132" s="25" t="str">
        <f ca="1">IFERROR(__xludf.DUMMYFUNCTION("""COMPUTED_VALUE"""),"PUNO")</f>
        <v>PUNO</v>
      </c>
      <c r="H2132" s="25"/>
      <c r="I2132" s="25" t="str">
        <f ca="1">IFERROR(__xludf.DUMMYFUNCTION("""COMPUTED_VALUE"""),"Prioridad 2")</f>
        <v>Prioridad 2</v>
      </c>
    </row>
    <row r="2133" spans="2:9">
      <c r="B2133" s="25" t="str">
        <f ca="1">IFERROR(__xludf.DUMMYFUNCTION("""COMPUTED_VALUE"""),"COLEGIO PROFESIONAL")</f>
        <v>COLEGIO PROFESIONAL</v>
      </c>
      <c r="C2133" s="25" t="str">
        <f ca="1">IFERROR(__xludf.DUMMYFUNCTION("""COMPUTED_VALUE"""),"COLEGIO DE ECONOMISTAS DE SAN MARTÍN")</f>
        <v>COLEGIO DE ECONOMISTAS DE SAN MARTÍN</v>
      </c>
      <c r="D2133" s="25" t="str">
        <f ca="1">IFERROR(__xludf.DUMMYFUNCTION("""COMPUTED_VALUE"""),"SAN MARTÍN")</f>
        <v>SAN MARTÍN</v>
      </c>
      <c r="E2133" s="25" t="str">
        <f ca="1">IFERROR(__xludf.DUMMYFUNCTION("""COMPUTED_VALUE"""),"SAN MARTÍN")</f>
        <v>SAN MARTÍN</v>
      </c>
      <c r="F2133" s="25" t="str">
        <f ca="1">IFERROR(__xludf.DUMMYFUNCTION("""COMPUTED_VALUE"""),"SAN MARTIN")</f>
        <v>SAN MARTIN</v>
      </c>
      <c r="G2133" s="25" t="str">
        <f ca="1">IFERROR(__xludf.DUMMYFUNCTION("""COMPUTED_VALUE"""),"SAN MARTIN")</f>
        <v>SAN MARTIN</v>
      </c>
      <c r="H2133" s="25"/>
      <c r="I2133" s="25" t="str">
        <f ca="1">IFERROR(__xludf.DUMMYFUNCTION("""COMPUTED_VALUE"""),"Prioridad 4")</f>
        <v>Prioridad 4</v>
      </c>
    </row>
    <row r="2134" spans="2:9">
      <c r="B2134" s="25" t="str">
        <f ca="1">IFERROR(__xludf.DUMMYFUNCTION("""COMPUTED_VALUE"""),"COLEGIO PROFESIONAL")</f>
        <v>COLEGIO PROFESIONAL</v>
      </c>
      <c r="C2134" s="25" t="str">
        <f ca="1">IFERROR(__xludf.DUMMYFUNCTION("""COMPUTED_VALUE"""),"COLEGIO DE ECONOMISTAS DE TACNA")</f>
        <v>COLEGIO DE ECONOMISTAS DE TACNA</v>
      </c>
      <c r="D2134" s="25" t="str">
        <f ca="1">IFERROR(__xludf.DUMMYFUNCTION("""COMPUTED_VALUE"""),"TACNA")</f>
        <v>TACNA</v>
      </c>
      <c r="E2134" s="25" t="str">
        <f ca="1">IFERROR(__xludf.DUMMYFUNCTION("""COMPUTED_VALUE"""),"TACNA")</f>
        <v>TACNA</v>
      </c>
      <c r="F2134" s="25" t="str">
        <f ca="1">IFERROR(__xludf.DUMMYFUNCTION("""COMPUTED_VALUE"""),"TACNA")</f>
        <v>TACNA</v>
      </c>
      <c r="G2134" s="25" t="str">
        <f ca="1">IFERROR(__xludf.DUMMYFUNCTION("""COMPUTED_VALUE"""),"TACNA")</f>
        <v>TACNA</v>
      </c>
      <c r="H2134" s="25"/>
      <c r="I2134" s="25" t="str">
        <f ca="1">IFERROR(__xludf.DUMMYFUNCTION("""COMPUTED_VALUE"""),"Prioridad 5")</f>
        <v>Prioridad 5</v>
      </c>
    </row>
    <row r="2135" spans="2:9">
      <c r="B2135" s="25" t="str">
        <f ca="1">IFERROR(__xludf.DUMMYFUNCTION("""COMPUTED_VALUE"""),"COLEGIO PROFESIONAL")</f>
        <v>COLEGIO PROFESIONAL</v>
      </c>
      <c r="C2135" s="25" t="str">
        <f ca="1">IFERROR(__xludf.DUMMYFUNCTION("""COMPUTED_VALUE"""),"COLEGIO DE ECONOMISTAS DE TUMBES")</f>
        <v>COLEGIO DE ECONOMISTAS DE TUMBES</v>
      </c>
      <c r="D2135" s="25" t="str">
        <f ca="1">IFERROR(__xludf.DUMMYFUNCTION("""COMPUTED_VALUE"""),"PIURA")</f>
        <v>PIURA</v>
      </c>
      <c r="E2135" s="25" t="str">
        <f ca="1">IFERROR(__xludf.DUMMYFUNCTION("""COMPUTED_VALUE"""),"TUMBES")</f>
        <v>TUMBES</v>
      </c>
      <c r="F2135" s="25" t="str">
        <f ca="1">IFERROR(__xludf.DUMMYFUNCTION("""COMPUTED_VALUE"""),"TUMBES")</f>
        <v>TUMBES</v>
      </c>
      <c r="G2135" s="25" t="str">
        <f ca="1">IFERROR(__xludf.DUMMYFUNCTION("""COMPUTED_VALUE"""),"TUMBES")</f>
        <v>TUMBES</v>
      </c>
      <c r="H2135" s="25"/>
      <c r="I2135" s="25" t="str">
        <f ca="1">IFERROR(__xludf.DUMMYFUNCTION("""COMPUTED_VALUE"""),"Prioridad 4")</f>
        <v>Prioridad 4</v>
      </c>
    </row>
    <row r="2136" spans="2:9">
      <c r="B2136" s="25" t="str">
        <f ca="1">IFERROR(__xludf.DUMMYFUNCTION("""COMPUTED_VALUE"""),"COLEGIO PROFESIONAL")</f>
        <v>COLEGIO PROFESIONAL</v>
      </c>
      <c r="C2136" s="25" t="str">
        <f ca="1">IFERROR(__xludf.DUMMYFUNCTION("""COMPUTED_VALUE"""),"COLEGIO DE ECONOMISTAS DE UCAYALI")</f>
        <v>COLEGIO DE ECONOMISTAS DE UCAYALI</v>
      </c>
      <c r="D2136" s="25" t="str">
        <f ca="1">IFERROR(__xludf.DUMMYFUNCTION("""COMPUTED_VALUE"""),"LORETO")</f>
        <v>LORETO</v>
      </c>
      <c r="E2136" s="25" t="str">
        <f ca="1">IFERROR(__xludf.DUMMYFUNCTION("""COMPUTED_VALUE"""),"UCAYALI")</f>
        <v>UCAYALI</v>
      </c>
      <c r="F2136" s="25" t="str">
        <f ca="1">IFERROR(__xludf.DUMMYFUNCTION("""COMPUTED_VALUE"""),"CORONEL PORTILLO")</f>
        <v>CORONEL PORTILLO</v>
      </c>
      <c r="G2136" s="25" t="str">
        <f ca="1">IFERROR(__xludf.DUMMYFUNCTION("""COMPUTED_VALUE"""),"CALLERIA")</f>
        <v>CALLERIA</v>
      </c>
      <c r="H2136" s="25"/>
      <c r="I2136" s="25" t="str">
        <f ca="1">IFERROR(__xludf.DUMMYFUNCTION("""COMPUTED_VALUE"""),"Prioridad 4")</f>
        <v>Prioridad 4</v>
      </c>
    </row>
    <row r="2137" spans="2:9">
      <c r="B2137" s="25" t="str">
        <f ca="1">IFERROR(__xludf.DUMMYFUNCTION("""COMPUTED_VALUE"""),"OTROS")</f>
        <v>OTROS</v>
      </c>
      <c r="C2137" s="25" t="str">
        <f ca="1">IFERROR(__xludf.DUMMYFUNCTION("""COMPUTED_VALUE"""),"SEDAPAR S.A.")</f>
        <v>SEDAPAR S.A.</v>
      </c>
      <c r="D2137" s="25" t="str">
        <f ca="1">IFERROR(__xludf.DUMMYFUNCTION("""COMPUTED_VALUE"""),"AREQUIPA")</f>
        <v>AREQUIPA</v>
      </c>
      <c r="E2137" s="25"/>
      <c r="F2137" s="25"/>
      <c r="G2137" s="25"/>
      <c r="H2137" s="25"/>
      <c r="I2137" s="25" t="str">
        <f ca="1">IFERROR(__xludf.DUMMYFUNCTION("""COMPUTED_VALUE"""),"No aplica")</f>
        <v>No aplica</v>
      </c>
    </row>
    <row r="2138" spans="2:9">
      <c r="B2138" s="25" t="str">
        <f ca="1">IFERROR(__xludf.DUMMYFUNCTION("""COMPUTED_VALUE"""),"UNIVERSIDAD PRIVADA")</f>
        <v>UNIVERSIDAD PRIVADA</v>
      </c>
      <c r="C2138" s="25" t="str">
        <f ca="1">IFERROR(__xludf.DUMMYFUNCTION("""COMPUTED_VALUE"""),"UNIVERSIDAD PRIVADA MARCELINO CHAMPAGNAT")</f>
        <v>UNIVERSIDAD PRIVADA MARCELINO CHAMPAGNAT</v>
      </c>
      <c r="D2138" s="25" t="str">
        <f ca="1">IFERROR(__xludf.DUMMYFUNCTION("""COMPUTED_VALUE"""),"SEDE CENTRAL")</f>
        <v>SEDE CENTRAL</v>
      </c>
      <c r="E2138" s="25" t="str">
        <f ca="1">IFERROR(__xludf.DUMMYFUNCTION("""COMPUTED_VALUE"""),"LIMA")</f>
        <v>LIMA</v>
      </c>
      <c r="F2138" s="25"/>
      <c r="G2138" s="25"/>
      <c r="H2138" s="25"/>
      <c r="I2138" s="25" t="str">
        <f ca="1">IFERROR(__xludf.DUMMYFUNCTION("""COMPUTED_VALUE"""),"Prioridad 3")</f>
        <v>Prioridad 3</v>
      </c>
    </row>
    <row r="2139" spans="2:9">
      <c r="B2139" s="25" t="str">
        <f ca="1">IFERROR(__xludf.DUMMYFUNCTION("""COMPUTED_VALUE"""),"UNIVERSIDAD PÚBLICA")</f>
        <v>UNIVERSIDAD PÚBLICA</v>
      </c>
      <c r="C2139" s="25" t="str">
        <f ca="1">IFERROR(__xludf.DUMMYFUNCTION("""COMPUTED_VALUE"""),"UNIVERSIDAD NACIONAL AGRARIA LA MOLINA")</f>
        <v>UNIVERSIDAD NACIONAL AGRARIA LA MOLINA</v>
      </c>
      <c r="D2139" s="25" t="str">
        <f ca="1">IFERROR(__xludf.DUMMYFUNCTION("""COMPUTED_VALUE"""),"SEDE CENTRAL")</f>
        <v>SEDE CENTRAL</v>
      </c>
      <c r="E2139" s="25" t="str">
        <f ca="1">IFERROR(__xludf.DUMMYFUNCTION("""COMPUTED_VALUE"""),"LIMA")</f>
        <v>LIMA</v>
      </c>
      <c r="F2139" s="25"/>
      <c r="G2139" s="25"/>
      <c r="H2139" s="25"/>
      <c r="I2139" s="25" t="str">
        <f ca="1">IFERROR(__xludf.DUMMYFUNCTION("""COMPUTED_VALUE"""),"Prioridad 1")</f>
        <v>Prioridad 1</v>
      </c>
    </row>
    <row r="2140" spans="2:9">
      <c r="B2140" s="25" t="str">
        <f ca="1">IFERROR(__xludf.DUMMYFUNCTION("""COMPUTED_VALUE"""),"UNIVERSIDAD PÚBLICA")</f>
        <v>UNIVERSIDAD PÚBLICA</v>
      </c>
      <c r="C2140" s="25" t="str">
        <f ca="1">IFERROR(__xludf.DUMMYFUNCTION("""COMPUTED_VALUE"""),"UNIVERSIDAD NACIONAL DE BARRANCA")</f>
        <v>UNIVERSIDAD NACIONAL DE BARRANCA</v>
      </c>
      <c r="D2140" s="25" t="str">
        <f ca="1">IFERROR(__xludf.DUMMYFUNCTION("""COMPUTED_VALUE"""),"SEDE CENTRAL")</f>
        <v>SEDE CENTRAL</v>
      </c>
      <c r="E2140" s="25" t="str">
        <f ca="1">IFERROR(__xludf.DUMMYFUNCTION("""COMPUTED_VALUE"""),"LIMA")</f>
        <v>LIMA</v>
      </c>
      <c r="F2140" s="25"/>
      <c r="G2140" s="25"/>
      <c r="H2140" s="25"/>
      <c r="I2140" s="25" t="str">
        <f ca="1">IFERROR(__xludf.DUMMYFUNCTION("""COMPUTED_VALUE"""),"Prioridad 3")</f>
        <v>Prioridad 3</v>
      </c>
    </row>
    <row r="2141" spans="2:9">
      <c r="B2141" s="25" t="str">
        <f ca="1">IFERROR(__xludf.DUMMYFUNCTION("""COMPUTED_VALUE"""),"UNIVERSIDAD PÚBLICA")</f>
        <v>UNIVERSIDAD PÚBLICA</v>
      </c>
      <c r="C2141" s="25" t="str">
        <f ca="1">IFERROR(__xludf.DUMMYFUNCTION("""COMPUTED_VALUE"""),"UNIVERSIDAD NACIONAL DE CAÑETE")</f>
        <v>UNIVERSIDAD NACIONAL DE CAÑETE</v>
      </c>
      <c r="D2141" s="25" t="str">
        <f ca="1">IFERROR(__xludf.DUMMYFUNCTION("""COMPUTED_VALUE"""),"SEDE CENTRAL")</f>
        <v>SEDE CENTRAL</v>
      </c>
      <c r="E2141" s="25" t="str">
        <f ca="1">IFERROR(__xludf.DUMMYFUNCTION("""COMPUTED_VALUE"""),"LIMA")</f>
        <v>LIMA</v>
      </c>
      <c r="F2141" s="25"/>
      <c r="G2141" s="25"/>
      <c r="H2141" s="25"/>
      <c r="I2141" s="25" t="str">
        <f ca="1">IFERROR(__xludf.DUMMYFUNCTION("""COMPUTED_VALUE"""),"Prioridad 4")</f>
        <v>Prioridad 4</v>
      </c>
    </row>
    <row r="2142" spans="2:9">
      <c r="B2142" s="25" t="str">
        <f ca="1">IFERROR(__xludf.DUMMYFUNCTION("""COMPUTED_VALUE"""),"UNIVERSIDAD PÚBLICA")</f>
        <v>UNIVERSIDAD PÚBLICA</v>
      </c>
      <c r="C2142" s="25" t="str">
        <f ca="1">IFERROR(__xludf.DUMMYFUNCTION("""COMPUTED_VALUE"""),"UNIVERSIDAD NACIONAL DE EDUCACIÓN ENRIQUE GUZMÁN Y VALLE")</f>
        <v>UNIVERSIDAD NACIONAL DE EDUCACIÓN ENRIQUE GUZMÁN Y VALLE</v>
      </c>
      <c r="D2142" s="25" t="str">
        <f ca="1">IFERROR(__xludf.DUMMYFUNCTION("""COMPUTED_VALUE"""),"SEDE CENTRAL")</f>
        <v>SEDE CENTRAL</v>
      </c>
      <c r="E2142" s="25" t="str">
        <f ca="1">IFERROR(__xludf.DUMMYFUNCTION("""COMPUTED_VALUE"""),"LIMA")</f>
        <v>LIMA</v>
      </c>
      <c r="F2142" s="25"/>
      <c r="G2142" s="25"/>
      <c r="H2142" s="25"/>
      <c r="I2142" s="25" t="str">
        <f ca="1">IFERROR(__xludf.DUMMYFUNCTION("""COMPUTED_VALUE"""),"Prioridad 1")</f>
        <v>Prioridad 1</v>
      </c>
    </row>
    <row r="2143" spans="2:9">
      <c r="B2143" s="25" t="str">
        <f ca="1">IFERROR(__xludf.DUMMYFUNCTION("""COMPUTED_VALUE"""),"UNIVERSIDAD PÚBLICA")</f>
        <v>UNIVERSIDAD PÚBLICA</v>
      </c>
      <c r="C2143" s="25" t="str">
        <f ca="1">IFERROR(__xludf.DUMMYFUNCTION("""COMPUTED_VALUE"""),"UNIVERSIDAD NACIONAL DE INGENIERÍA")</f>
        <v>UNIVERSIDAD NACIONAL DE INGENIERÍA</v>
      </c>
      <c r="D2143" s="25" t="str">
        <f ca="1">IFERROR(__xludf.DUMMYFUNCTION("""COMPUTED_VALUE"""),"SEDE CENTRAL")</f>
        <v>SEDE CENTRAL</v>
      </c>
      <c r="E2143" s="25" t="str">
        <f ca="1">IFERROR(__xludf.DUMMYFUNCTION("""COMPUTED_VALUE"""),"LIMA")</f>
        <v>LIMA</v>
      </c>
      <c r="F2143" s="25"/>
      <c r="G2143" s="25"/>
      <c r="H2143" s="25"/>
      <c r="I2143" s="25" t="str">
        <f ca="1">IFERROR(__xludf.DUMMYFUNCTION("""COMPUTED_VALUE"""),"Prioridad 1")</f>
        <v>Prioridad 1</v>
      </c>
    </row>
    <row r="2144" spans="2:9">
      <c r="B2144" s="25" t="str">
        <f ca="1">IFERROR(__xludf.DUMMYFUNCTION("""COMPUTED_VALUE"""),"UNIVERSIDAD PÚBLICA")</f>
        <v>UNIVERSIDAD PÚBLICA</v>
      </c>
      <c r="C2144" s="25" t="str">
        <f ca="1">IFERROR(__xludf.DUMMYFUNCTION("""COMPUTED_VALUE"""),"UNIVERSIDAD NACIONAL FEDERICO VILLARREAL")</f>
        <v>UNIVERSIDAD NACIONAL FEDERICO VILLARREAL</v>
      </c>
      <c r="D2144" s="25" t="str">
        <f ca="1">IFERROR(__xludf.DUMMYFUNCTION("""COMPUTED_VALUE"""),"SEDE CENTRAL")</f>
        <v>SEDE CENTRAL</v>
      </c>
      <c r="E2144" s="25" t="str">
        <f ca="1">IFERROR(__xludf.DUMMYFUNCTION("""COMPUTED_VALUE"""),"LIMA")</f>
        <v>LIMA</v>
      </c>
      <c r="F2144" s="25"/>
      <c r="G2144" s="25"/>
      <c r="H2144" s="25"/>
      <c r="I2144" s="25" t="str">
        <f ca="1">IFERROR(__xludf.DUMMYFUNCTION("""COMPUTED_VALUE"""),"Prioridad 2")</f>
        <v>Prioridad 2</v>
      </c>
    </row>
    <row r="2145" spans="2:9">
      <c r="B2145" s="25" t="str">
        <f ca="1">IFERROR(__xludf.DUMMYFUNCTION("""COMPUTED_VALUE"""),"UNIVERSIDAD PÚBLICA")</f>
        <v>UNIVERSIDAD PÚBLICA</v>
      </c>
      <c r="C2145" s="25" t="str">
        <f ca="1">IFERROR(__xludf.DUMMYFUNCTION("""COMPUTED_VALUE"""),"UNIVERSIDAD NACIONAL JOSÉ FAUSTINO SÁNCHEZ CARRIÓN")</f>
        <v>UNIVERSIDAD NACIONAL JOSÉ FAUSTINO SÁNCHEZ CARRIÓN</v>
      </c>
      <c r="D2145" s="25" t="str">
        <f ca="1">IFERROR(__xludf.DUMMYFUNCTION("""COMPUTED_VALUE"""),"SEDE CENTRAL")</f>
        <v>SEDE CENTRAL</v>
      </c>
      <c r="E2145" s="25" t="str">
        <f ca="1">IFERROR(__xludf.DUMMYFUNCTION("""COMPUTED_VALUE"""),"LIMA")</f>
        <v>LIMA</v>
      </c>
      <c r="F2145" s="25"/>
      <c r="G2145" s="25"/>
      <c r="H2145" s="25"/>
      <c r="I2145" s="25" t="str">
        <f ca="1">IFERROR(__xludf.DUMMYFUNCTION("""COMPUTED_VALUE"""),"Prioridad 1")</f>
        <v>Prioridad 1</v>
      </c>
    </row>
    <row r="2146" spans="2:9">
      <c r="B2146" s="25" t="str">
        <f ca="1">IFERROR(__xludf.DUMMYFUNCTION("""COMPUTED_VALUE"""),"UNIVERSIDAD PÚBLICA")</f>
        <v>UNIVERSIDAD PÚBLICA</v>
      </c>
      <c r="C2146" s="25" t="str">
        <f ca="1">IFERROR(__xludf.DUMMYFUNCTION("""COMPUTED_VALUE"""),"UNIVERSIDAD NACIONAL MAYOR DE SAN MARCOS")</f>
        <v>UNIVERSIDAD NACIONAL MAYOR DE SAN MARCOS</v>
      </c>
      <c r="D2146" s="25" t="str">
        <f ca="1">IFERROR(__xludf.DUMMYFUNCTION("""COMPUTED_VALUE"""),"SEDE CENTRAL")</f>
        <v>SEDE CENTRAL</v>
      </c>
      <c r="E2146" s="25" t="str">
        <f ca="1">IFERROR(__xludf.DUMMYFUNCTION("""COMPUTED_VALUE"""),"LIMA")</f>
        <v>LIMA</v>
      </c>
      <c r="F2146" s="25"/>
      <c r="G2146" s="25"/>
      <c r="H2146" s="25"/>
      <c r="I2146" s="25" t="str">
        <f ca="1">IFERROR(__xludf.DUMMYFUNCTION("""COMPUTED_VALUE"""),"Prioridad 1")</f>
        <v>Prioridad 1</v>
      </c>
    </row>
    <row r="2147" spans="2:9">
      <c r="B2147" s="25" t="str">
        <f ca="1">IFERROR(__xludf.DUMMYFUNCTION("""COMPUTED_VALUE"""),"UNIVERSIDAD PRIVADA")</f>
        <v>UNIVERSIDAD PRIVADA</v>
      </c>
      <c r="C2147" s="25" t="str">
        <f ca="1">IFERROR(__xludf.DUMMYFUNCTION("""COMPUTED_VALUE"""),"UNIVERSIDAD PRIVADA DE PUCALLPA S.A.C.")</f>
        <v>UNIVERSIDAD PRIVADA DE PUCALLPA S.A.C.</v>
      </c>
      <c r="D2147" s="25" t="str">
        <f ca="1">IFERROR(__xludf.DUMMYFUNCTION("""COMPUTED_VALUE"""),"LORETO")</f>
        <v>LORETO</v>
      </c>
      <c r="E2147" s="25" t="str">
        <f ca="1">IFERROR(__xludf.DUMMYFUNCTION("""COMPUTED_VALUE"""),"UCAYALI")</f>
        <v>UCAYALI</v>
      </c>
      <c r="F2147" s="25" t="str">
        <f ca="1">IFERROR(__xludf.DUMMYFUNCTION("""COMPUTED_VALUE"""),"CORONEL PORTILLO")</f>
        <v>CORONEL PORTILLO</v>
      </c>
      <c r="G2147" s="25" t="str">
        <f ca="1">IFERROR(__xludf.DUMMYFUNCTION("""COMPUTED_VALUE"""),"CALLERÍA")</f>
        <v>CALLERÍA</v>
      </c>
      <c r="H2147" s="25"/>
      <c r="I2147" s="25" t="str">
        <f ca="1">IFERROR(__xludf.DUMMYFUNCTION("""COMPUTED_VALUE"""),"Prioridad 4")</f>
        <v>Prioridad 4</v>
      </c>
    </row>
    <row r="2148" spans="2:9">
      <c r="B2148" s="25" t="str">
        <f ca="1">IFERROR(__xludf.DUMMYFUNCTION("""COMPUTED_VALUE"""),"UNIVERSIDAD PÚBLICA")</f>
        <v>UNIVERSIDAD PÚBLICA</v>
      </c>
      <c r="C2148" s="25" t="str">
        <f ca="1">IFERROR(__xludf.DUMMYFUNCTION("""COMPUTED_VALUE"""),"UNIVERSIDAD NACIONAL TECNOLÓGICA DE LIMA SUR")</f>
        <v>UNIVERSIDAD NACIONAL TECNOLÓGICA DE LIMA SUR</v>
      </c>
      <c r="D2148" s="25" t="str">
        <f ca="1">IFERROR(__xludf.DUMMYFUNCTION("""COMPUTED_VALUE"""),"SEDE CENTRAL")</f>
        <v>SEDE CENTRAL</v>
      </c>
      <c r="E2148" s="25" t="str">
        <f ca="1">IFERROR(__xludf.DUMMYFUNCTION("""COMPUTED_VALUE"""),"LIMA")</f>
        <v>LIMA</v>
      </c>
      <c r="F2148" s="25"/>
      <c r="G2148" s="25"/>
      <c r="H2148" s="25"/>
      <c r="I2148" s="25" t="str">
        <f ca="1">IFERROR(__xludf.DUMMYFUNCTION("""COMPUTED_VALUE"""),"Prioridad 2")</f>
        <v>Prioridad 2</v>
      </c>
    </row>
    <row r="2149" spans="2:9">
      <c r="B2149" s="25" t="str">
        <f ca="1">IFERROR(__xludf.DUMMYFUNCTION("""COMPUTED_VALUE"""),"UNIVERSIDAD PRIVADA")</f>
        <v>UNIVERSIDAD PRIVADA</v>
      </c>
      <c r="C2149" s="25" t="str">
        <f ca="1">IFERROR(__xludf.DUMMYFUNCTION("""COMPUTED_VALUE"""),"UNIVERSIDAD PERUANA CAYETANO HEREDIA")</f>
        <v>UNIVERSIDAD PERUANA CAYETANO HEREDIA</v>
      </c>
      <c r="D2149" s="25" t="str">
        <f ca="1">IFERROR(__xludf.DUMMYFUNCTION("""COMPUTED_VALUE"""),"SEDE CENTRAL")</f>
        <v>SEDE CENTRAL</v>
      </c>
      <c r="E2149" s="25" t="str">
        <f ca="1">IFERROR(__xludf.DUMMYFUNCTION("""COMPUTED_VALUE"""),"LIMA")</f>
        <v>LIMA</v>
      </c>
      <c r="F2149" s="25"/>
      <c r="G2149" s="25"/>
      <c r="H2149" s="25"/>
      <c r="I2149" s="25" t="str">
        <f ca="1">IFERROR(__xludf.DUMMYFUNCTION("""COMPUTED_VALUE"""),"Prioridad 3")</f>
        <v>Prioridad 3</v>
      </c>
    </row>
    <row r="2150" spans="2:9">
      <c r="B2150" s="25" t="str">
        <f ca="1">IFERROR(__xludf.DUMMYFUNCTION("""COMPUTED_VALUE"""),"UNIVERSIDAD PRIVADA")</f>
        <v>UNIVERSIDAD PRIVADA</v>
      </c>
      <c r="C2150" s="25" t="str">
        <f ca="1">IFERROR(__xludf.DUMMYFUNCTION("""COMPUTED_VALUE"""),"UNIVERSIDAD PERUANA DE CIENCIAS APLICADAS S.A.C.")</f>
        <v>UNIVERSIDAD PERUANA DE CIENCIAS APLICADAS S.A.C.</v>
      </c>
      <c r="D2150" s="25" t="str">
        <f ca="1">IFERROR(__xludf.DUMMYFUNCTION("""COMPUTED_VALUE"""),"SEDE CENTRAL")</f>
        <v>SEDE CENTRAL</v>
      </c>
      <c r="E2150" s="25" t="str">
        <f ca="1">IFERROR(__xludf.DUMMYFUNCTION("""COMPUTED_VALUE"""),"LIMA")</f>
        <v>LIMA</v>
      </c>
      <c r="F2150" s="25"/>
      <c r="G2150" s="25"/>
      <c r="H2150" s="25"/>
      <c r="I2150" s="25" t="str">
        <f ca="1">IFERROR(__xludf.DUMMYFUNCTION("""COMPUTED_VALUE"""),"Prioridad 2")</f>
        <v>Prioridad 2</v>
      </c>
    </row>
    <row r="2151" spans="2:9">
      <c r="B2151" s="25" t="str">
        <f ca="1">IFERROR(__xludf.DUMMYFUNCTION("""COMPUTED_VALUE"""),"UNIVERSIDAD PRIVADA")</f>
        <v>UNIVERSIDAD PRIVADA</v>
      </c>
      <c r="C2151" s="25" t="str">
        <f ca="1">IFERROR(__xludf.DUMMYFUNCTION("""COMPUTED_VALUE"""),"UNIVERSIDAD PERUANA UNIÓN")</f>
        <v>UNIVERSIDAD PERUANA UNIÓN</v>
      </c>
      <c r="D2151" s="25" t="str">
        <f ca="1">IFERROR(__xludf.DUMMYFUNCTION("""COMPUTED_VALUE"""),"SEDE CENTRAL")</f>
        <v>SEDE CENTRAL</v>
      </c>
      <c r="E2151" s="25" t="str">
        <f ca="1">IFERROR(__xludf.DUMMYFUNCTION("""COMPUTED_VALUE"""),"LIMA")</f>
        <v>LIMA</v>
      </c>
      <c r="F2151" s="25"/>
      <c r="G2151" s="25"/>
      <c r="H2151" s="25"/>
      <c r="I2151" s="25" t="str">
        <f ca="1">IFERROR(__xludf.DUMMYFUNCTION("""COMPUTED_VALUE"""),"Prioridad 2")</f>
        <v>Prioridad 2</v>
      </c>
    </row>
    <row r="2152" spans="2:9">
      <c r="B2152" s="25" t="str">
        <f ca="1">IFERROR(__xludf.DUMMYFUNCTION("""COMPUTED_VALUE"""),"UNIVERSIDAD PRIVADA")</f>
        <v>UNIVERSIDAD PRIVADA</v>
      </c>
      <c r="C2152" s="25" t="str">
        <f ca="1">IFERROR(__xludf.DUMMYFUNCTION("""COMPUTED_VALUE"""),"UNIVERSIDAD PRIVADA ARZOBISPO LOAYZA S.A.C")</f>
        <v>UNIVERSIDAD PRIVADA ARZOBISPO LOAYZA S.A.C</v>
      </c>
      <c r="D2152" s="25" t="str">
        <f ca="1">IFERROR(__xludf.DUMMYFUNCTION("""COMPUTED_VALUE"""),"SEDE CENTRAL")</f>
        <v>SEDE CENTRAL</v>
      </c>
      <c r="E2152" s="25" t="str">
        <f ca="1">IFERROR(__xludf.DUMMYFUNCTION("""COMPUTED_VALUE"""),"LIMA")</f>
        <v>LIMA</v>
      </c>
      <c r="F2152" s="25"/>
      <c r="G2152" s="25"/>
      <c r="H2152" s="25"/>
      <c r="I2152" s="25" t="str">
        <f ca="1">IFERROR(__xludf.DUMMYFUNCTION("""COMPUTED_VALUE"""),"Prioridad 4")</f>
        <v>Prioridad 4</v>
      </c>
    </row>
    <row r="2153" spans="2:9">
      <c r="B2153" s="25" t="str">
        <f ca="1">IFERROR(__xludf.DUMMYFUNCTION("""COMPUTED_VALUE"""),"UNIVERSIDAD PRIVADA")</f>
        <v>UNIVERSIDAD PRIVADA</v>
      </c>
      <c r="C2153" s="25" t="str">
        <f ca="1">IFERROR(__xludf.DUMMYFUNCTION("""COMPUTED_VALUE"""),"UNIVERSIDAD PRIVADA NORBERT WIENER S.A.")</f>
        <v>UNIVERSIDAD PRIVADA NORBERT WIENER S.A.</v>
      </c>
      <c r="D2153" s="25" t="str">
        <f ca="1">IFERROR(__xludf.DUMMYFUNCTION("""COMPUTED_VALUE"""),"SEDE CENTRAL")</f>
        <v>SEDE CENTRAL</v>
      </c>
      <c r="E2153" s="25" t="str">
        <f ca="1">IFERROR(__xludf.DUMMYFUNCTION("""COMPUTED_VALUE"""),"LIMA")</f>
        <v>LIMA</v>
      </c>
      <c r="F2153" s="25"/>
      <c r="G2153" s="25"/>
      <c r="H2153" s="25"/>
      <c r="I2153" s="25" t="str">
        <f ca="1">IFERROR(__xludf.DUMMYFUNCTION("""COMPUTED_VALUE"""),"Prioridad 1")</f>
        <v>Prioridad 1</v>
      </c>
    </row>
    <row r="2154" spans="2:9">
      <c r="B2154" s="25" t="str">
        <f ca="1">IFERROR(__xludf.DUMMYFUNCTION("""COMPUTED_VALUE"""),"UNIVERSIDAD PRIVADA")</f>
        <v>UNIVERSIDAD PRIVADA</v>
      </c>
      <c r="C2154" s="25" t="str">
        <f ca="1">IFERROR(__xludf.DUMMYFUNCTION("""COMPUTED_VALUE"""),"UNIVERSIDAD CIENTÍFICA DEL PERÚ")</f>
        <v>UNIVERSIDAD CIENTÍFICA DEL PERÚ</v>
      </c>
      <c r="D2154" s="25" t="str">
        <f ca="1">IFERROR(__xludf.DUMMYFUNCTION("""COMPUTED_VALUE"""),"SEDE CENTRAL")</f>
        <v>SEDE CENTRAL</v>
      </c>
      <c r="E2154" s="25" t="str">
        <f ca="1">IFERROR(__xludf.DUMMYFUNCTION("""COMPUTED_VALUE"""),"LIMA")</f>
        <v>LIMA</v>
      </c>
      <c r="F2154" s="25"/>
      <c r="G2154" s="25"/>
      <c r="H2154" s="25"/>
      <c r="I2154" s="25" t="str">
        <f ca="1">IFERROR(__xludf.DUMMYFUNCTION("""COMPUTED_VALUE"""),"Prioridad 3")</f>
        <v>Prioridad 3</v>
      </c>
    </row>
  </sheetData>
  <customSheetViews>
    <customSheetView guid="{181F5CB1-F6C1-4A0F-A1AC-1EAA41D45ADF}" filter="1" showAutoFilter="1">
      <pageMargins left="0" right="0" top="0" bottom="0" header="0" footer="0"/>
      <autoFilter ref="A1:Y2052" xr:uid="{98FED272-40C8-47BF-BDC8-7402B90F931E}"/>
    </customSheetView>
    <customSheetView guid="{7A8B6077-8358-46C7-B6EB-0CCDA99BB991}" filter="1" showAutoFilter="1">
      <pageMargins left="0" right="0" top="0" bottom="0" header="0" footer="0"/>
      <autoFilter ref="A1:Y2052" xr:uid="{A0935707-B7A7-4C74-AEB2-4DA17152A8A2}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X700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7.7109375" customWidth="1"/>
    <col min="2" max="2" width="25.5703125" customWidth="1"/>
    <col min="4" max="4" width="14.5703125" customWidth="1"/>
    <col min="6" max="6" width="13.7109375" customWidth="1"/>
    <col min="7" max="7" width="15" customWidth="1"/>
    <col min="8" max="8" width="14.42578125" customWidth="1"/>
    <col min="11" max="11" width="21" customWidth="1"/>
    <col min="15" max="15" width="16.5703125" customWidth="1"/>
    <col min="17" max="17" width="14" customWidth="1"/>
    <col min="18" max="24" width="16.28515625" customWidth="1"/>
  </cols>
  <sheetData>
    <row r="1" spans="1:24">
      <c r="A1" s="1" t="s">
        <v>0</v>
      </c>
      <c r="B1" s="1" t="s">
        <v>1</v>
      </c>
      <c r="C1" s="1" t="s">
        <v>2</v>
      </c>
      <c r="D1" s="2" t="s">
        <v>3</v>
      </c>
      <c r="E1" s="2" t="s">
        <v>226</v>
      </c>
      <c r="F1" s="3" t="s">
        <v>5</v>
      </c>
      <c r="G1" s="4" t="s">
        <v>227</v>
      </c>
      <c r="H1" s="3" t="s">
        <v>7</v>
      </c>
      <c r="I1" s="3" t="s">
        <v>8</v>
      </c>
      <c r="J1" s="5" t="s">
        <v>228</v>
      </c>
      <c r="K1" s="5" t="s">
        <v>9</v>
      </c>
      <c r="L1" s="5" t="s">
        <v>229</v>
      </c>
      <c r="M1" s="6" t="s">
        <v>11</v>
      </c>
      <c r="N1" s="6" t="s">
        <v>230</v>
      </c>
      <c r="O1" s="16" t="s">
        <v>231</v>
      </c>
      <c r="P1" s="17" t="s">
        <v>14</v>
      </c>
      <c r="Q1" s="17" t="s">
        <v>232</v>
      </c>
      <c r="R1" s="17" t="s">
        <v>233</v>
      </c>
      <c r="S1" s="16" t="s">
        <v>234</v>
      </c>
      <c r="T1" s="17" t="s">
        <v>235</v>
      </c>
      <c r="U1" s="17" t="s">
        <v>236</v>
      </c>
      <c r="V1" s="17" t="s">
        <v>265</v>
      </c>
      <c r="W1" s="17" t="s">
        <v>238</v>
      </c>
      <c r="X1" s="17" t="s">
        <v>239</v>
      </c>
    </row>
    <row r="2" spans="1:24">
      <c r="A2" s="18" t="str">
        <f ca="1">IFERROR(__xludf.DUMMYFUNCTION("{QUERY(GCONTROL!A3:V700,""SELECT * WHERE A IS NOT NULL"",0);QUERY(GTRATAMIENTO!A3:V700,""SELECT * WHERE A IS NOT NULL"",0);QUERY('Grupo 1 Trat2'!A3:V700,""SELECT * WHERE A IS NOT NULL"",0)}"),"#VALUE!")</f>
        <v>#VALUE!</v>
      </c>
      <c r="B2" s="18"/>
      <c r="C2" s="18"/>
      <c r="D2" s="18"/>
      <c r="E2" s="18"/>
      <c r="F2" s="18"/>
      <c r="G2" s="13"/>
      <c r="H2" s="18"/>
      <c r="I2" s="18"/>
      <c r="J2" s="19"/>
      <c r="K2" s="18"/>
      <c r="L2" s="19"/>
      <c r="M2" s="18"/>
      <c r="N2" s="18"/>
      <c r="O2" s="20"/>
      <c r="P2" s="13"/>
      <c r="Q2" s="21"/>
      <c r="R2" s="21"/>
      <c r="S2" s="21"/>
      <c r="T2" s="13"/>
      <c r="U2" s="46"/>
      <c r="V2" s="23"/>
      <c r="W2" s="22" t="str">
        <f t="array" aca="1" ref="W2" ca="1">IF(A2="","",IFERROR(INDEX(PARAMETROS!$J$2:$J700,MATCH(H2,PARAMETROS!$E$2:$E700,0)),""))</f>
        <v/>
      </c>
      <c r="X2" s="23" t="str">
        <f t="shared" ref="X2:X256" ca="1" si="0">IF(A2="","",IF(T2=0,"",Q2/T2))</f>
        <v/>
      </c>
    </row>
    <row r="3" spans="1:24">
      <c r="A3" s="18"/>
      <c r="B3" s="18"/>
      <c r="C3" s="18"/>
      <c r="D3" s="18"/>
      <c r="E3" s="18"/>
      <c r="F3" s="18"/>
      <c r="G3" s="13"/>
      <c r="H3" s="18"/>
      <c r="I3" s="18"/>
      <c r="J3" s="19"/>
      <c r="K3" s="18"/>
      <c r="L3" s="19"/>
      <c r="M3" s="18"/>
      <c r="N3" s="18"/>
      <c r="O3" s="20"/>
      <c r="P3" s="13"/>
      <c r="Q3" s="21"/>
      <c r="R3" s="21"/>
      <c r="S3" s="21"/>
      <c r="T3" s="13"/>
      <c r="U3" s="46"/>
      <c r="V3" s="23"/>
      <c r="W3" s="22" t="str">
        <f t="array" ref="W3">IF(A3="","",IFERROR(INDEX(PARAMETROS!$J$2:$J700,MATCH(H3,PARAMETROS!$E$2:$E700,0)),""))</f>
        <v/>
      </c>
      <c r="X3" s="23" t="str">
        <f t="shared" si="0"/>
        <v/>
      </c>
    </row>
    <row r="4" spans="1:24">
      <c r="A4" s="18"/>
      <c r="B4" s="18"/>
      <c r="C4" s="18"/>
      <c r="D4" s="18"/>
      <c r="E4" s="18"/>
      <c r="F4" s="18"/>
      <c r="G4" s="13"/>
      <c r="H4" s="18"/>
      <c r="I4" s="18"/>
      <c r="J4" s="19"/>
      <c r="K4" s="18"/>
      <c r="L4" s="19"/>
      <c r="M4" s="18"/>
      <c r="N4" s="18"/>
      <c r="O4" s="20"/>
      <c r="P4" s="13"/>
      <c r="Q4" s="21"/>
      <c r="R4" s="21"/>
      <c r="S4" s="21"/>
      <c r="T4" s="13"/>
      <c r="U4" s="46"/>
      <c r="V4" s="23"/>
      <c r="W4" s="22" t="str">
        <f t="array" ref="W4">IF(A4="","",IFERROR(INDEX(PARAMETROS!$J$2:$J700,MATCH(H4,PARAMETROS!$E$2:$E700,0)),""))</f>
        <v/>
      </c>
      <c r="X4" s="23" t="str">
        <f t="shared" si="0"/>
        <v/>
      </c>
    </row>
    <row r="5" spans="1:24">
      <c r="A5" s="18"/>
      <c r="B5" s="18"/>
      <c r="C5" s="18"/>
      <c r="D5" s="18"/>
      <c r="E5" s="18"/>
      <c r="F5" s="18"/>
      <c r="G5" s="13"/>
      <c r="H5" s="18"/>
      <c r="I5" s="18"/>
      <c r="J5" s="19"/>
      <c r="K5" s="18"/>
      <c r="L5" s="19"/>
      <c r="M5" s="18"/>
      <c r="N5" s="18"/>
      <c r="O5" s="20"/>
      <c r="P5" s="13"/>
      <c r="Q5" s="21"/>
      <c r="R5" s="21"/>
      <c r="S5" s="21"/>
      <c r="T5" s="13"/>
      <c r="U5" s="46"/>
      <c r="V5" s="23"/>
      <c r="W5" s="22" t="str">
        <f t="array" ref="W5">IF(A5="","",IFERROR(INDEX(PARAMETROS!$J$2:$J700,MATCH(H5,PARAMETROS!$E$2:$E700,0)),""))</f>
        <v/>
      </c>
      <c r="X5" s="23" t="str">
        <f t="shared" si="0"/>
        <v/>
      </c>
    </row>
    <row r="6" spans="1:24">
      <c r="A6" s="18"/>
      <c r="B6" s="18"/>
      <c r="C6" s="18"/>
      <c r="D6" s="18"/>
      <c r="E6" s="18"/>
      <c r="F6" s="18"/>
      <c r="G6" s="13"/>
      <c r="H6" s="18"/>
      <c r="I6" s="18"/>
      <c r="J6" s="19"/>
      <c r="K6" s="18"/>
      <c r="L6" s="19"/>
      <c r="M6" s="18"/>
      <c r="N6" s="18"/>
      <c r="O6" s="20"/>
      <c r="P6" s="13"/>
      <c r="Q6" s="21"/>
      <c r="R6" s="21"/>
      <c r="S6" s="21"/>
      <c r="T6" s="13"/>
      <c r="U6" s="46"/>
      <c r="V6" s="23"/>
      <c r="W6" s="22" t="str">
        <f t="array" ref="W6">IF(A6="","",IFERROR(INDEX(PARAMETROS!$J$2:$J700,MATCH(H6,PARAMETROS!$E$2:$E700,0)),""))</f>
        <v/>
      </c>
      <c r="X6" s="23" t="str">
        <f t="shared" si="0"/>
        <v/>
      </c>
    </row>
    <row r="7" spans="1:24">
      <c r="A7" s="18"/>
      <c r="B7" s="18"/>
      <c r="C7" s="18"/>
      <c r="D7" s="18"/>
      <c r="E7" s="18"/>
      <c r="F7" s="18"/>
      <c r="G7" s="13"/>
      <c r="H7" s="18"/>
      <c r="I7" s="18"/>
      <c r="J7" s="19"/>
      <c r="K7" s="18"/>
      <c r="L7" s="19"/>
      <c r="M7" s="18"/>
      <c r="N7" s="18"/>
      <c r="O7" s="20"/>
      <c r="P7" s="13"/>
      <c r="Q7" s="21"/>
      <c r="R7" s="21"/>
      <c r="S7" s="21"/>
      <c r="T7" s="13"/>
      <c r="U7" s="46"/>
      <c r="V7" s="23"/>
      <c r="W7" s="22" t="str">
        <f t="array" ref="W7">IF(A7="","",IFERROR(INDEX(PARAMETROS!$J$2:$J700,MATCH(H7,PARAMETROS!$E$2:$E700,0)),""))</f>
        <v/>
      </c>
      <c r="X7" s="23" t="str">
        <f t="shared" si="0"/>
        <v/>
      </c>
    </row>
    <row r="8" spans="1:24">
      <c r="A8" s="18"/>
      <c r="B8" s="18"/>
      <c r="C8" s="18"/>
      <c r="D8" s="18"/>
      <c r="E8" s="18"/>
      <c r="F8" s="18"/>
      <c r="G8" s="13"/>
      <c r="H8" s="18"/>
      <c r="I8" s="18"/>
      <c r="J8" s="19"/>
      <c r="K8" s="18"/>
      <c r="L8" s="19"/>
      <c r="M8" s="18"/>
      <c r="N8" s="18"/>
      <c r="O8" s="20"/>
      <c r="P8" s="13"/>
      <c r="Q8" s="21"/>
      <c r="R8" s="21"/>
      <c r="S8" s="21"/>
      <c r="T8" s="13"/>
      <c r="U8" s="46"/>
      <c r="V8" s="23"/>
      <c r="W8" s="22" t="str">
        <f t="array" ref="W8">IF(A8="","",IFERROR(INDEX(PARAMETROS!$J$2:$J700,MATCH(H8,PARAMETROS!$E$2:$E700,0)),""))</f>
        <v/>
      </c>
      <c r="X8" s="23" t="str">
        <f t="shared" si="0"/>
        <v/>
      </c>
    </row>
    <row r="9" spans="1:24">
      <c r="A9" s="18"/>
      <c r="B9" s="18"/>
      <c r="C9" s="18"/>
      <c r="D9" s="18"/>
      <c r="E9" s="18"/>
      <c r="F9" s="18"/>
      <c r="G9" s="13"/>
      <c r="H9" s="18"/>
      <c r="I9" s="18"/>
      <c r="J9" s="19"/>
      <c r="K9" s="18"/>
      <c r="L9" s="19"/>
      <c r="M9" s="18"/>
      <c r="N9" s="18"/>
      <c r="O9" s="20"/>
      <c r="P9" s="13"/>
      <c r="Q9" s="21"/>
      <c r="R9" s="21"/>
      <c r="S9" s="21"/>
      <c r="T9" s="13"/>
      <c r="U9" s="46"/>
      <c r="V9" s="23"/>
      <c r="W9" s="22" t="str">
        <f t="array" ref="W9">IF(A9="","",IFERROR(INDEX(PARAMETROS!$J$2:$J700,MATCH(H9,PARAMETROS!$E$2:$E700,0)),""))</f>
        <v/>
      </c>
      <c r="X9" s="23" t="str">
        <f t="shared" si="0"/>
        <v/>
      </c>
    </row>
    <row r="10" spans="1:24">
      <c r="A10" s="18"/>
      <c r="B10" s="18"/>
      <c r="C10" s="18"/>
      <c r="D10" s="18"/>
      <c r="E10" s="18"/>
      <c r="F10" s="18"/>
      <c r="G10" s="13"/>
      <c r="H10" s="18"/>
      <c r="I10" s="18"/>
      <c r="J10" s="19"/>
      <c r="K10" s="18"/>
      <c r="L10" s="19"/>
      <c r="M10" s="18"/>
      <c r="N10" s="18"/>
      <c r="O10" s="20"/>
      <c r="P10" s="13"/>
      <c r="Q10" s="21"/>
      <c r="R10" s="21"/>
      <c r="S10" s="21"/>
      <c r="T10" s="13"/>
      <c r="U10" s="46"/>
      <c r="V10" s="23"/>
      <c r="W10" s="22" t="str">
        <f t="array" ref="W10">IF(A10="","",IFERROR(INDEX(PARAMETROS!$J$2:$J700,MATCH(H10,PARAMETROS!$E$2:$E700,0)),""))</f>
        <v/>
      </c>
      <c r="X10" s="23" t="str">
        <f t="shared" si="0"/>
        <v/>
      </c>
    </row>
    <row r="11" spans="1:24">
      <c r="A11" s="18"/>
      <c r="B11" s="18"/>
      <c r="C11" s="18"/>
      <c r="D11" s="18"/>
      <c r="E11" s="18"/>
      <c r="F11" s="18"/>
      <c r="G11" s="13"/>
      <c r="H11" s="18"/>
      <c r="I11" s="18"/>
      <c r="J11" s="19"/>
      <c r="K11" s="18"/>
      <c r="L11" s="19"/>
      <c r="M11" s="18"/>
      <c r="N11" s="18"/>
      <c r="O11" s="20"/>
      <c r="P11" s="13"/>
      <c r="Q11" s="21"/>
      <c r="R11" s="21"/>
      <c r="S11" s="21"/>
      <c r="T11" s="13"/>
      <c r="U11" s="46"/>
      <c r="V11" s="23"/>
      <c r="W11" s="22" t="str">
        <f t="array" ref="W11">IF(A11="","",IFERROR(INDEX(PARAMETROS!$J$2:$J700,MATCH(H11,PARAMETROS!$E$2:$E700,0)),""))</f>
        <v/>
      </c>
      <c r="X11" s="23" t="str">
        <f t="shared" si="0"/>
        <v/>
      </c>
    </row>
    <row r="12" spans="1:24">
      <c r="A12" s="18"/>
      <c r="B12" s="18"/>
      <c r="C12" s="18"/>
      <c r="D12" s="18"/>
      <c r="E12" s="18"/>
      <c r="F12" s="18"/>
      <c r="G12" s="13"/>
      <c r="H12" s="18"/>
      <c r="I12" s="18"/>
      <c r="J12" s="19"/>
      <c r="K12" s="18"/>
      <c r="L12" s="19"/>
      <c r="M12" s="18"/>
      <c r="N12" s="18"/>
      <c r="O12" s="20"/>
      <c r="P12" s="13"/>
      <c r="Q12" s="21"/>
      <c r="R12" s="21"/>
      <c r="S12" s="21"/>
      <c r="T12" s="13"/>
      <c r="U12" s="46"/>
      <c r="V12" s="23"/>
      <c r="W12" s="22" t="str">
        <f t="array" ref="W12">IF(A12="","",IFERROR(INDEX(PARAMETROS!$J$2:$J700,MATCH(H12,PARAMETROS!$E$2:$E700,0)),""))</f>
        <v/>
      </c>
      <c r="X12" s="23" t="str">
        <f t="shared" si="0"/>
        <v/>
      </c>
    </row>
    <row r="13" spans="1:24">
      <c r="A13" s="18"/>
      <c r="B13" s="18"/>
      <c r="C13" s="18"/>
      <c r="D13" s="18"/>
      <c r="E13" s="18"/>
      <c r="F13" s="18"/>
      <c r="G13" s="13"/>
      <c r="H13" s="18"/>
      <c r="I13" s="18"/>
      <c r="J13" s="19"/>
      <c r="K13" s="18"/>
      <c r="L13" s="19"/>
      <c r="M13" s="18"/>
      <c r="N13" s="18"/>
      <c r="O13" s="20"/>
      <c r="P13" s="13"/>
      <c r="Q13" s="21"/>
      <c r="R13" s="21"/>
      <c r="S13" s="21"/>
      <c r="T13" s="13"/>
      <c r="U13" s="46"/>
      <c r="V13" s="23"/>
      <c r="W13" s="22" t="str">
        <f t="array" ref="W13">IF(A13="","",IFERROR(INDEX(PARAMETROS!$J$2:$J700,MATCH(H13,PARAMETROS!$E$2:$E700,0)),""))</f>
        <v/>
      </c>
      <c r="X13" s="23" t="str">
        <f t="shared" si="0"/>
        <v/>
      </c>
    </row>
    <row r="14" spans="1:24">
      <c r="A14" s="18"/>
      <c r="B14" s="18"/>
      <c r="C14" s="18"/>
      <c r="D14" s="18"/>
      <c r="E14" s="18"/>
      <c r="F14" s="18"/>
      <c r="G14" s="13"/>
      <c r="H14" s="18"/>
      <c r="I14" s="18"/>
      <c r="J14" s="19"/>
      <c r="K14" s="18"/>
      <c r="L14" s="19"/>
      <c r="M14" s="18"/>
      <c r="N14" s="18"/>
      <c r="O14" s="20"/>
      <c r="P14" s="13"/>
      <c r="Q14" s="21"/>
      <c r="R14" s="21"/>
      <c r="S14" s="21"/>
      <c r="T14" s="13"/>
      <c r="U14" s="46"/>
      <c r="V14" s="23"/>
      <c r="W14" s="22" t="str">
        <f t="array" ref="W14">IF(A14="","",IFERROR(INDEX(PARAMETROS!$J$2:$J700,MATCH(H14,PARAMETROS!$E$2:$E700,0)),""))</f>
        <v/>
      </c>
      <c r="X14" s="23" t="str">
        <f t="shared" si="0"/>
        <v/>
      </c>
    </row>
    <row r="15" spans="1:24">
      <c r="A15" s="18"/>
      <c r="B15" s="18"/>
      <c r="C15" s="18"/>
      <c r="D15" s="18"/>
      <c r="E15" s="18"/>
      <c r="F15" s="18"/>
      <c r="G15" s="13"/>
      <c r="H15" s="18"/>
      <c r="I15" s="18"/>
      <c r="J15" s="19"/>
      <c r="K15" s="18"/>
      <c r="L15" s="19"/>
      <c r="M15" s="18"/>
      <c r="N15" s="18"/>
      <c r="O15" s="20"/>
      <c r="P15" s="13"/>
      <c r="Q15" s="21"/>
      <c r="R15" s="21"/>
      <c r="S15" s="21"/>
      <c r="T15" s="13"/>
      <c r="U15" s="46"/>
      <c r="V15" s="23"/>
      <c r="W15" s="22" t="str">
        <f t="array" ref="W15">IF(A15="","",IFERROR(INDEX(PARAMETROS!$J$2:$J700,MATCH(H15,PARAMETROS!$E$2:$E700,0)),""))</f>
        <v/>
      </c>
      <c r="X15" s="23" t="str">
        <f t="shared" si="0"/>
        <v/>
      </c>
    </row>
    <row r="16" spans="1:24">
      <c r="A16" s="18"/>
      <c r="B16" s="18"/>
      <c r="C16" s="18"/>
      <c r="D16" s="18"/>
      <c r="E16" s="18"/>
      <c r="F16" s="18"/>
      <c r="G16" s="13"/>
      <c r="H16" s="18"/>
      <c r="I16" s="18"/>
      <c r="J16" s="19"/>
      <c r="K16" s="18"/>
      <c r="L16" s="19"/>
      <c r="M16" s="18"/>
      <c r="N16" s="18"/>
      <c r="O16" s="20"/>
      <c r="P16" s="13"/>
      <c r="Q16" s="21"/>
      <c r="R16" s="21"/>
      <c r="S16" s="21"/>
      <c r="T16" s="13"/>
      <c r="U16" s="46"/>
      <c r="V16" s="23"/>
      <c r="W16" s="22" t="str">
        <f t="array" ref="W16">IF(A16="","",IFERROR(INDEX(PARAMETROS!$J$2:$J700,MATCH(H16,PARAMETROS!$E$2:$E700,0)),""))</f>
        <v/>
      </c>
      <c r="X16" s="23" t="str">
        <f t="shared" si="0"/>
        <v/>
      </c>
    </row>
    <row r="17" spans="1:24">
      <c r="A17" s="18"/>
      <c r="B17" s="18"/>
      <c r="C17" s="18"/>
      <c r="D17" s="18"/>
      <c r="E17" s="18"/>
      <c r="F17" s="18"/>
      <c r="G17" s="13"/>
      <c r="H17" s="18"/>
      <c r="I17" s="18"/>
      <c r="J17" s="19"/>
      <c r="K17" s="18"/>
      <c r="L17" s="19"/>
      <c r="M17" s="18"/>
      <c r="N17" s="18"/>
      <c r="O17" s="20"/>
      <c r="P17" s="13"/>
      <c r="Q17" s="21"/>
      <c r="R17" s="21"/>
      <c r="S17" s="21"/>
      <c r="T17" s="13"/>
      <c r="U17" s="46"/>
      <c r="V17" s="23"/>
      <c r="W17" s="22" t="str">
        <f t="array" ref="W17">IF(A17="","",IFERROR(INDEX(PARAMETROS!$J$2:$J700,MATCH(H17,PARAMETROS!$E$2:$E700,0)),""))</f>
        <v/>
      </c>
      <c r="X17" s="23" t="str">
        <f t="shared" si="0"/>
        <v/>
      </c>
    </row>
    <row r="18" spans="1:24">
      <c r="A18" s="18"/>
      <c r="B18" s="18"/>
      <c r="C18" s="18"/>
      <c r="D18" s="18"/>
      <c r="E18" s="18"/>
      <c r="F18" s="18"/>
      <c r="G18" s="13"/>
      <c r="H18" s="18"/>
      <c r="I18" s="18"/>
      <c r="J18" s="19"/>
      <c r="K18" s="18"/>
      <c r="L18" s="19"/>
      <c r="M18" s="18"/>
      <c r="N18" s="18"/>
      <c r="O18" s="20"/>
      <c r="P18" s="13"/>
      <c r="Q18" s="21"/>
      <c r="R18" s="21"/>
      <c r="S18" s="21"/>
      <c r="T18" s="13"/>
      <c r="U18" s="46"/>
      <c r="V18" s="23"/>
      <c r="W18" s="22" t="str">
        <f t="array" ref="W18">IF(A18="","",IFERROR(INDEX(PARAMETROS!$J$2:$J700,MATCH(H18,PARAMETROS!$E$2:$E700,0)),""))</f>
        <v/>
      </c>
      <c r="X18" s="23" t="str">
        <f t="shared" si="0"/>
        <v/>
      </c>
    </row>
    <row r="19" spans="1:24">
      <c r="A19" s="18"/>
      <c r="B19" s="18"/>
      <c r="C19" s="18"/>
      <c r="D19" s="18"/>
      <c r="E19" s="18"/>
      <c r="F19" s="18"/>
      <c r="G19" s="13"/>
      <c r="H19" s="18"/>
      <c r="I19" s="18"/>
      <c r="J19" s="19"/>
      <c r="K19" s="18"/>
      <c r="L19" s="19"/>
      <c r="M19" s="18"/>
      <c r="N19" s="18"/>
      <c r="O19" s="20"/>
      <c r="P19" s="13"/>
      <c r="Q19" s="21"/>
      <c r="R19" s="21"/>
      <c r="S19" s="21"/>
      <c r="T19" s="13"/>
      <c r="U19" s="46"/>
      <c r="V19" s="23"/>
      <c r="W19" s="22" t="str">
        <f t="array" ref="W19">IF(A19="","",IFERROR(INDEX(PARAMETROS!$J$2:$J700,MATCH(H19,PARAMETROS!$E$2:$E700,0)),""))</f>
        <v/>
      </c>
      <c r="X19" s="23" t="str">
        <f t="shared" si="0"/>
        <v/>
      </c>
    </row>
    <row r="20" spans="1:24">
      <c r="A20" s="18"/>
      <c r="B20" s="18"/>
      <c r="C20" s="18"/>
      <c r="D20" s="18"/>
      <c r="E20" s="18"/>
      <c r="F20" s="18"/>
      <c r="G20" s="13"/>
      <c r="H20" s="18"/>
      <c r="I20" s="18"/>
      <c r="J20" s="19"/>
      <c r="K20" s="18"/>
      <c r="L20" s="19"/>
      <c r="M20" s="18"/>
      <c r="N20" s="18"/>
      <c r="O20" s="20"/>
      <c r="P20" s="13"/>
      <c r="Q20" s="21"/>
      <c r="R20" s="21"/>
      <c r="S20" s="21"/>
      <c r="T20" s="13"/>
      <c r="U20" s="46"/>
      <c r="V20" s="23"/>
      <c r="W20" s="22" t="str">
        <f t="array" ref="W20">IF(A20="","",IFERROR(INDEX(PARAMETROS!$J$2:$J700,MATCH(H20,PARAMETROS!$E$2:$E700,0)),""))</f>
        <v/>
      </c>
      <c r="X20" s="23" t="str">
        <f t="shared" si="0"/>
        <v/>
      </c>
    </row>
    <row r="21" spans="1:24">
      <c r="A21" s="18"/>
      <c r="B21" s="18"/>
      <c r="C21" s="18"/>
      <c r="D21" s="18"/>
      <c r="E21" s="18"/>
      <c r="F21" s="18"/>
      <c r="G21" s="13"/>
      <c r="H21" s="18"/>
      <c r="I21" s="18"/>
      <c r="J21" s="19"/>
      <c r="K21" s="18"/>
      <c r="L21" s="19"/>
      <c r="M21" s="18"/>
      <c r="N21" s="18"/>
      <c r="O21" s="20"/>
      <c r="P21" s="13"/>
      <c r="Q21" s="21"/>
      <c r="R21" s="21"/>
      <c r="S21" s="21"/>
      <c r="T21" s="13"/>
      <c r="U21" s="46"/>
      <c r="V21" s="23"/>
      <c r="W21" s="22" t="str">
        <f t="array" ref="W21">IF(A21="","",IFERROR(INDEX(PARAMETROS!$J$2:$J700,MATCH(H21,PARAMETROS!$E$2:$E700,0)),""))</f>
        <v/>
      </c>
      <c r="X21" s="23" t="str">
        <f t="shared" si="0"/>
        <v/>
      </c>
    </row>
    <row r="22" spans="1:24">
      <c r="A22" s="18"/>
      <c r="B22" s="18"/>
      <c r="C22" s="18"/>
      <c r="D22" s="18"/>
      <c r="E22" s="18"/>
      <c r="F22" s="18"/>
      <c r="G22" s="13"/>
      <c r="H22" s="18"/>
      <c r="I22" s="18"/>
      <c r="J22" s="19"/>
      <c r="K22" s="18"/>
      <c r="L22" s="19"/>
      <c r="M22" s="18"/>
      <c r="N22" s="18"/>
      <c r="O22" s="20"/>
      <c r="P22" s="13"/>
      <c r="Q22" s="21"/>
      <c r="R22" s="21"/>
      <c r="S22" s="21"/>
      <c r="T22" s="13"/>
      <c r="U22" s="46"/>
      <c r="V22" s="23"/>
      <c r="W22" s="22" t="str">
        <f t="array" ref="W22">IF(A22="","",IFERROR(INDEX(PARAMETROS!$J$2:$J700,MATCH(H22,PARAMETROS!$E$2:$E700,0)),""))</f>
        <v/>
      </c>
      <c r="X22" s="23" t="str">
        <f t="shared" si="0"/>
        <v/>
      </c>
    </row>
    <row r="23" spans="1:24">
      <c r="A23" s="18"/>
      <c r="B23" s="18"/>
      <c r="C23" s="18"/>
      <c r="D23" s="18"/>
      <c r="E23" s="18"/>
      <c r="F23" s="18"/>
      <c r="G23" s="13"/>
      <c r="H23" s="18"/>
      <c r="I23" s="18"/>
      <c r="J23" s="19"/>
      <c r="K23" s="18"/>
      <c r="L23" s="19"/>
      <c r="M23" s="18"/>
      <c r="N23" s="18"/>
      <c r="O23" s="20"/>
      <c r="P23" s="13"/>
      <c r="Q23" s="21"/>
      <c r="R23" s="21"/>
      <c r="S23" s="21"/>
      <c r="T23" s="13"/>
      <c r="U23" s="46"/>
      <c r="V23" s="23"/>
      <c r="W23" s="22" t="str">
        <f t="array" ref="W23">IF(A23="","",IFERROR(INDEX(PARAMETROS!$J$2:$J700,MATCH(H23,PARAMETROS!$E$2:$E700,0)),""))</f>
        <v/>
      </c>
      <c r="X23" s="23" t="str">
        <f t="shared" si="0"/>
        <v/>
      </c>
    </row>
    <row r="24" spans="1:24">
      <c r="A24" s="18"/>
      <c r="B24" s="18"/>
      <c r="C24" s="18"/>
      <c r="D24" s="18"/>
      <c r="E24" s="18"/>
      <c r="F24" s="18"/>
      <c r="G24" s="13"/>
      <c r="H24" s="18"/>
      <c r="I24" s="18"/>
      <c r="J24" s="19"/>
      <c r="K24" s="18"/>
      <c r="L24" s="19"/>
      <c r="M24" s="18"/>
      <c r="N24" s="18"/>
      <c r="O24" s="20"/>
      <c r="P24" s="13"/>
      <c r="Q24" s="21"/>
      <c r="R24" s="21"/>
      <c r="S24" s="21"/>
      <c r="T24" s="13"/>
      <c r="U24" s="46"/>
      <c r="V24" s="23"/>
      <c r="W24" s="22" t="str">
        <f t="array" ref="W24">IF(A24="","",IFERROR(INDEX(PARAMETROS!$J$2:$J700,MATCH(H24,PARAMETROS!$E$2:$E700,0)),""))</f>
        <v/>
      </c>
      <c r="X24" s="23" t="str">
        <f t="shared" si="0"/>
        <v/>
      </c>
    </row>
    <row r="25" spans="1:24">
      <c r="A25" s="18"/>
      <c r="B25" s="18"/>
      <c r="C25" s="18"/>
      <c r="D25" s="18"/>
      <c r="E25" s="18"/>
      <c r="F25" s="18"/>
      <c r="G25" s="13"/>
      <c r="H25" s="18"/>
      <c r="I25" s="18"/>
      <c r="J25" s="19"/>
      <c r="K25" s="18"/>
      <c r="L25" s="19"/>
      <c r="M25" s="18"/>
      <c r="N25" s="18"/>
      <c r="O25" s="20"/>
      <c r="P25" s="13"/>
      <c r="Q25" s="21"/>
      <c r="R25" s="21"/>
      <c r="S25" s="21"/>
      <c r="T25" s="13"/>
      <c r="U25" s="46"/>
      <c r="V25" s="23"/>
      <c r="W25" s="22" t="str">
        <f t="array" ref="W25">IF(A25="","",IFERROR(INDEX(PARAMETROS!$J$2:$J700,MATCH(H25,PARAMETROS!$E$2:$E700,0)),""))</f>
        <v/>
      </c>
      <c r="X25" s="23" t="str">
        <f t="shared" si="0"/>
        <v/>
      </c>
    </row>
    <row r="26" spans="1:24">
      <c r="A26" s="18"/>
      <c r="B26" s="18"/>
      <c r="C26" s="18"/>
      <c r="D26" s="18"/>
      <c r="E26" s="18"/>
      <c r="F26" s="18"/>
      <c r="G26" s="13"/>
      <c r="H26" s="18"/>
      <c r="I26" s="18"/>
      <c r="J26" s="19"/>
      <c r="K26" s="18"/>
      <c r="L26" s="19"/>
      <c r="M26" s="18"/>
      <c r="N26" s="18"/>
      <c r="O26" s="20"/>
      <c r="P26" s="13"/>
      <c r="Q26" s="21"/>
      <c r="R26" s="21"/>
      <c r="S26" s="21"/>
      <c r="T26" s="13"/>
      <c r="U26" s="46"/>
      <c r="V26" s="23"/>
      <c r="W26" s="22" t="str">
        <f t="array" ref="W26">IF(A26="","",IFERROR(INDEX(PARAMETROS!$J$2:$J700,MATCH(H26,PARAMETROS!$E$2:$E700,0)),""))</f>
        <v/>
      </c>
      <c r="X26" s="23" t="str">
        <f t="shared" si="0"/>
        <v/>
      </c>
    </row>
    <row r="27" spans="1:24">
      <c r="A27" s="18"/>
      <c r="B27" s="18"/>
      <c r="C27" s="18"/>
      <c r="D27" s="18"/>
      <c r="E27" s="18"/>
      <c r="F27" s="18"/>
      <c r="G27" s="13"/>
      <c r="H27" s="18"/>
      <c r="I27" s="18"/>
      <c r="J27" s="19"/>
      <c r="K27" s="18"/>
      <c r="L27" s="19"/>
      <c r="M27" s="18"/>
      <c r="N27" s="18"/>
      <c r="O27" s="20"/>
      <c r="P27" s="13"/>
      <c r="Q27" s="21"/>
      <c r="R27" s="21"/>
      <c r="S27" s="21"/>
      <c r="T27" s="13"/>
      <c r="U27" s="46"/>
      <c r="V27" s="23"/>
      <c r="W27" s="22" t="str">
        <f t="array" ref="W27">IF(A27="","",IFERROR(INDEX(PARAMETROS!$J$2:$J700,MATCH(H27,PARAMETROS!$E$2:$E700,0)),""))</f>
        <v/>
      </c>
      <c r="X27" s="23" t="str">
        <f t="shared" si="0"/>
        <v/>
      </c>
    </row>
    <row r="28" spans="1:24">
      <c r="A28" s="18"/>
      <c r="B28" s="18"/>
      <c r="C28" s="18"/>
      <c r="D28" s="18"/>
      <c r="E28" s="18"/>
      <c r="F28" s="18"/>
      <c r="G28" s="13"/>
      <c r="H28" s="18"/>
      <c r="I28" s="18"/>
      <c r="J28" s="19"/>
      <c r="K28" s="18"/>
      <c r="L28" s="19"/>
      <c r="M28" s="18"/>
      <c r="N28" s="18"/>
      <c r="O28" s="20"/>
      <c r="P28" s="13"/>
      <c r="Q28" s="21"/>
      <c r="R28" s="21"/>
      <c r="S28" s="21"/>
      <c r="T28" s="13"/>
      <c r="U28" s="46"/>
      <c r="V28" s="23"/>
      <c r="W28" s="22" t="str">
        <f t="array" ref="W28">IF(A28="","",IFERROR(INDEX(PARAMETROS!$J$2:$J700,MATCH(H28,PARAMETROS!$E$2:$E700,0)),""))</f>
        <v/>
      </c>
      <c r="X28" s="23" t="str">
        <f t="shared" si="0"/>
        <v/>
      </c>
    </row>
    <row r="29" spans="1:24">
      <c r="A29" s="18"/>
      <c r="B29" s="18"/>
      <c r="C29" s="18"/>
      <c r="D29" s="18"/>
      <c r="E29" s="18"/>
      <c r="F29" s="18"/>
      <c r="G29" s="13"/>
      <c r="H29" s="18"/>
      <c r="I29" s="18"/>
      <c r="J29" s="19"/>
      <c r="K29" s="18"/>
      <c r="L29" s="19"/>
      <c r="M29" s="18"/>
      <c r="N29" s="18"/>
      <c r="O29" s="20"/>
      <c r="P29" s="13"/>
      <c r="Q29" s="21"/>
      <c r="R29" s="21"/>
      <c r="S29" s="21"/>
      <c r="T29" s="13"/>
      <c r="U29" s="46"/>
      <c r="V29" s="23"/>
      <c r="W29" s="22" t="str">
        <f t="array" ref="W29">IF(A29="","",IFERROR(INDEX(PARAMETROS!$J$2:$J700,MATCH(H29,PARAMETROS!$E$2:$E700,0)),""))</f>
        <v/>
      </c>
      <c r="X29" s="23" t="str">
        <f t="shared" si="0"/>
        <v/>
      </c>
    </row>
    <row r="30" spans="1:24">
      <c r="A30" s="18"/>
      <c r="B30" s="18"/>
      <c r="C30" s="18"/>
      <c r="D30" s="18"/>
      <c r="E30" s="18"/>
      <c r="F30" s="18"/>
      <c r="G30" s="13"/>
      <c r="H30" s="18"/>
      <c r="I30" s="18"/>
      <c r="J30" s="19"/>
      <c r="K30" s="18"/>
      <c r="L30" s="19"/>
      <c r="M30" s="18"/>
      <c r="N30" s="18"/>
      <c r="O30" s="20"/>
      <c r="P30" s="13"/>
      <c r="Q30" s="21"/>
      <c r="R30" s="21"/>
      <c r="S30" s="21"/>
      <c r="T30" s="13"/>
      <c r="U30" s="46"/>
      <c r="V30" s="23"/>
      <c r="W30" s="22" t="str">
        <f t="array" ref="W30">IF(A30="","",IFERROR(INDEX(PARAMETROS!$J$2:$J700,MATCH(H30,PARAMETROS!$E$2:$E700,0)),""))</f>
        <v/>
      </c>
      <c r="X30" s="23" t="str">
        <f t="shared" si="0"/>
        <v/>
      </c>
    </row>
    <row r="31" spans="1:24">
      <c r="A31" s="18"/>
      <c r="B31" s="18"/>
      <c r="C31" s="18"/>
      <c r="D31" s="18"/>
      <c r="E31" s="18"/>
      <c r="F31" s="18"/>
      <c r="G31" s="13"/>
      <c r="H31" s="18"/>
      <c r="I31" s="18"/>
      <c r="J31" s="19"/>
      <c r="K31" s="18"/>
      <c r="L31" s="19"/>
      <c r="M31" s="18"/>
      <c r="N31" s="18"/>
      <c r="O31" s="20"/>
      <c r="P31" s="13"/>
      <c r="Q31" s="21"/>
      <c r="R31" s="21"/>
      <c r="S31" s="21"/>
      <c r="T31" s="13"/>
      <c r="U31" s="46"/>
      <c r="V31" s="23"/>
      <c r="W31" s="22" t="str">
        <f t="array" ref="W31">IF(A31="","",IFERROR(INDEX(PARAMETROS!$J$2:$J700,MATCH(H31,PARAMETROS!$E$2:$E700,0)),""))</f>
        <v/>
      </c>
      <c r="X31" s="23" t="str">
        <f t="shared" si="0"/>
        <v/>
      </c>
    </row>
    <row r="32" spans="1:24">
      <c r="A32" s="18"/>
      <c r="B32" s="18"/>
      <c r="C32" s="18"/>
      <c r="D32" s="18"/>
      <c r="E32" s="18"/>
      <c r="F32" s="18"/>
      <c r="G32" s="13"/>
      <c r="H32" s="18"/>
      <c r="I32" s="18"/>
      <c r="J32" s="19"/>
      <c r="K32" s="18"/>
      <c r="L32" s="19"/>
      <c r="M32" s="18"/>
      <c r="N32" s="18"/>
      <c r="O32" s="20"/>
      <c r="P32" s="13"/>
      <c r="Q32" s="21"/>
      <c r="R32" s="21"/>
      <c r="S32" s="21"/>
      <c r="T32" s="13"/>
      <c r="U32" s="46"/>
      <c r="V32" s="23"/>
      <c r="W32" s="22" t="str">
        <f t="array" ref="W32">IF(A32="","",IFERROR(INDEX(PARAMETROS!$J$2:$J700,MATCH(H32,PARAMETROS!$E$2:$E700,0)),""))</f>
        <v/>
      </c>
      <c r="X32" s="23" t="str">
        <f t="shared" si="0"/>
        <v/>
      </c>
    </row>
    <row r="33" spans="1:24">
      <c r="A33" s="18"/>
      <c r="B33" s="18"/>
      <c r="C33" s="18"/>
      <c r="D33" s="18"/>
      <c r="E33" s="18"/>
      <c r="F33" s="18"/>
      <c r="G33" s="13"/>
      <c r="H33" s="18"/>
      <c r="I33" s="18"/>
      <c r="J33" s="19"/>
      <c r="K33" s="18"/>
      <c r="L33" s="19"/>
      <c r="M33" s="18"/>
      <c r="N33" s="18"/>
      <c r="O33" s="20"/>
      <c r="P33" s="13"/>
      <c r="Q33" s="21"/>
      <c r="R33" s="21"/>
      <c r="S33" s="21"/>
      <c r="T33" s="13"/>
      <c r="U33" s="46"/>
      <c r="V33" s="23"/>
      <c r="W33" s="22" t="str">
        <f t="array" ref="W33">IF(A33="","",IFERROR(INDEX(PARAMETROS!$J$2:$J700,MATCH(H33,PARAMETROS!$E$2:$E700,0)),""))</f>
        <v/>
      </c>
      <c r="X33" s="23" t="str">
        <f t="shared" si="0"/>
        <v/>
      </c>
    </row>
    <row r="34" spans="1:24">
      <c r="A34" s="18"/>
      <c r="B34" s="18"/>
      <c r="C34" s="18"/>
      <c r="D34" s="18"/>
      <c r="E34" s="18"/>
      <c r="F34" s="18"/>
      <c r="G34" s="13"/>
      <c r="H34" s="18"/>
      <c r="I34" s="18"/>
      <c r="J34" s="19"/>
      <c r="K34" s="18"/>
      <c r="L34" s="19"/>
      <c r="M34" s="18"/>
      <c r="N34" s="18"/>
      <c r="O34" s="20"/>
      <c r="P34" s="13"/>
      <c r="Q34" s="21"/>
      <c r="R34" s="21"/>
      <c r="S34" s="21"/>
      <c r="T34" s="13"/>
      <c r="U34" s="46"/>
      <c r="V34" s="23"/>
      <c r="W34" s="22" t="str">
        <f t="array" ref="W34">IF(A34="","",IFERROR(INDEX(PARAMETROS!$J$2:$J700,MATCH(H34,PARAMETROS!$E$2:$E700,0)),""))</f>
        <v/>
      </c>
      <c r="X34" s="23" t="str">
        <f t="shared" si="0"/>
        <v/>
      </c>
    </row>
    <row r="35" spans="1:24">
      <c r="A35" s="18"/>
      <c r="B35" s="18"/>
      <c r="C35" s="18"/>
      <c r="D35" s="18"/>
      <c r="E35" s="18"/>
      <c r="F35" s="18"/>
      <c r="G35" s="13"/>
      <c r="H35" s="18"/>
      <c r="I35" s="18"/>
      <c r="J35" s="19"/>
      <c r="K35" s="18"/>
      <c r="L35" s="19"/>
      <c r="M35" s="18"/>
      <c r="N35" s="18"/>
      <c r="O35" s="20"/>
      <c r="P35" s="13"/>
      <c r="Q35" s="21"/>
      <c r="R35" s="21"/>
      <c r="S35" s="21"/>
      <c r="T35" s="13"/>
      <c r="U35" s="46"/>
      <c r="V35" s="23"/>
      <c r="W35" s="22" t="str">
        <f t="array" ref="W35">IF(A35="","",IFERROR(INDEX(PARAMETROS!$J$2:$J700,MATCH(H35,PARAMETROS!$E$2:$E700,0)),""))</f>
        <v/>
      </c>
      <c r="X35" s="23" t="str">
        <f t="shared" si="0"/>
        <v/>
      </c>
    </row>
    <row r="36" spans="1:24">
      <c r="A36" s="18"/>
      <c r="B36" s="18"/>
      <c r="C36" s="18"/>
      <c r="D36" s="18"/>
      <c r="E36" s="18"/>
      <c r="F36" s="18"/>
      <c r="G36" s="13"/>
      <c r="H36" s="18"/>
      <c r="I36" s="18"/>
      <c r="J36" s="19"/>
      <c r="K36" s="18"/>
      <c r="L36" s="19"/>
      <c r="M36" s="18"/>
      <c r="N36" s="18"/>
      <c r="O36" s="20"/>
      <c r="P36" s="13"/>
      <c r="Q36" s="21"/>
      <c r="R36" s="21"/>
      <c r="S36" s="21"/>
      <c r="T36" s="13"/>
      <c r="U36" s="46"/>
      <c r="V36" s="23"/>
      <c r="W36" s="22" t="str">
        <f t="array" ref="W36">IF(A36="","",IFERROR(INDEX(PARAMETROS!$J$2:$J700,MATCH(H36,PARAMETROS!$E$2:$E700,0)),""))</f>
        <v/>
      </c>
      <c r="X36" s="23" t="str">
        <f t="shared" si="0"/>
        <v/>
      </c>
    </row>
    <row r="37" spans="1:24">
      <c r="A37" s="18"/>
      <c r="B37" s="18"/>
      <c r="C37" s="18"/>
      <c r="D37" s="18"/>
      <c r="E37" s="18"/>
      <c r="F37" s="18"/>
      <c r="G37" s="13"/>
      <c r="H37" s="18"/>
      <c r="I37" s="18"/>
      <c r="J37" s="19"/>
      <c r="K37" s="18"/>
      <c r="L37" s="19"/>
      <c r="M37" s="18"/>
      <c r="N37" s="18"/>
      <c r="O37" s="20"/>
      <c r="P37" s="13"/>
      <c r="Q37" s="21"/>
      <c r="R37" s="21"/>
      <c r="S37" s="21"/>
      <c r="T37" s="13"/>
      <c r="U37" s="46"/>
      <c r="V37" s="23"/>
      <c r="W37" s="22" t="str">
        <f t="array" ref="W37">IF(A37="","",IFERROR(INDEX(PARAMETROS!$J$2:$J700,MATCH(H37,PARAMETROS!$E$2:$E700,0)),""))</f>
        <v/>
      </c>
      <c r="X37" s="23" t="str">
        <f t="shared" si="0"/>
        <v/>
      </c>
    </row>
    <row r="38" spans="1:24">
      <c r="A38" s="18"/>
      <c r="B38" s="18"/>
      <c r="C38" s="18"/>
      <c r="D38" s="18"/>
      <c r="E38" s="18"/>
      <c r="F38" s="18"/>
      <c r="G38" s="13"/>
      <c r="H38" s="18"/>
      <c r="I38" s="18"/>
      <c r="J38" s="19"/>
      <c r="K38" s="18"/>
      <c r="L38" s="19"/>
      <c r="M38" s="18"/>
      <c r="N38" s="18"/>
      <c r="O38" s="20"/>
      <c r="P38" s="13"/>
      <c r="Q38" s="21"/>
      <c r="R38" s="21"/>
      <c r="S38" s="21"/>
      <c r="T38" s="13"/>
      <c r="U38" s="46"/>
      <c r="V38" s="23"/>
      <c r="W38" s="22" t="str">
        <f t="array" ref="W38">IF(A38="","",IFERROR(INDEX(PARAMETROS!$J$2:$J700,MATCH(H38,PARAMETROS!$E$2:$E700,0)),""))</f>
        <v/>
      </c>
      <c r="X38" s="23" t="str">
        <f t="shared" si="0"/>
        <v/>
      </c>
    </row>
    <row r="39" spans="1:24">
      <c r="A39" s="18"/>
      <c r="B39" s="18"/>
      <c r="C39" s="18"/>
      <c r="D39" s="18"/>
      <c r="E39" s="18"/>
      <c r="F39" s="18"/>
      <c r="G39" s="13"/>
      <c r="H39" s="18"/>
      <c r="I39" s="18"/>
      <c r="J39" s="19"/>
      <c r="K39" s="18"/>
      <c r="L39" s="19"/>
      <c r="M39" s="18"/>
      <c r="N39" s="18"/>
      <c r="O39" s="20"/>
      <c r="P39" s="13"/>
      <c r="Q39" s="21"/>
      <c r="R39" s="21"/>
      <c r="S39" s="21"/>
      <c r="T39" s="13"/>
      <c r="U39" s="46"/>
      <c r="V39" s="23"/>
      <c r="W39" s="22" t="str">
        <f t="array" ref="W39">IF(A39="","",IFERROR(INDEX(PARAMETROS!$J$2:$J700,MATCH(H39,PARAMETROS!$E$2:$E700,0)),""))</f>
        <v/>
      </c>
      <c r="X39" s="23" t="str">
        <f t="shared" si="0"/>
        <v/>
      </c>
    </row>
    <row r="40" spans="1:24">
      <c r="A40" s="18"/>
      <c r="B40" s="18"/>
      <c r="C40" s="18"/>
      <c r="D40" s="18"/>
      <c r="E40" s="18"/>
      <c r="F40" s="18"/>
      <c r="G40" s="13"/>
      <c r="H40" s="18"/>
      <c r="I40" s="18"/>
      <c r="J40" s="19"/>
      <c r="K40" s="18"/>
      <c r="L40" s="19"/>
      <c r="M40" s="18"/>
      <c r="N40" s="18"/>
      <c r="O40" s="20"/>
      <c r="P40" s="13"/>
      <c r="Q40" s="21"/>
      <c r="R40" s="21"/>
      <c r="S40" s="21"/>
      <c r="T40" s="13"/>
      <c r="U40" s="46"/>
      <c r="V40" s="23"/>
      <c r="W40" s="22" t="str">
        <f t="array" ref="W40">IF(A40="","",IFERROR(INDEX(PARAMETROS!$J$2:$J700,MATCH(H40,PARAMETROS!$E$2:$E700,0)),""))</f>
        <v/>
      </c>
      <c r="X40" s="23" t="str">
        <f t="shared" si="0"/>
        <v/>
      </c>
    </row>
    <row r="41" spans="1:24">
      <c r="A41" s="18"/>
      <c r="B41" s="18"/>
      <c r="C41" s="18"/>
      <c r="D41" s="18"/>
      <c r="E41" s="18"/>
      <c r="F41" s="18"/>
      <c r="G41" s="13"/>
      <c r="H41" s="18"/>
      <c r="I41" s="18"/>
      <c r="J41" s="19"/>
      <c r="K41" s="18"/>
      <c r="L41" s="19"/>
      <c r="M41" s="18"/>
      <c r="N41" s="18"/>
      <c r="O41" s="20"/>
      <c r="P41" s="13"/>
      <c r="Q41" s="21"/>
      <c r="R41" s="21"/>
      <c r="S41" s="21"/>
      <c r="T41" s="13"/>
      <c r="U41" s="46"/>
      <c r="V41" s="23"/>
      <c r="W41" s="22" t="str">
        <f t="array" ref="W41">IF(A41="","",IFERROR(INDEX(PARAMETROS!$J$2:$J700,MATCH(H41,PARAMETROS!$E$2:$E700,0)),""))</f>
        <v/>
      </c>
      <c r="X41" s="23" t="str">
        <f t="shared" si="0"/>
        <v/>
      </c>
    </row>
    <row r="42" spans="1:24">
      <c r="A42" s="18"/>
      <c r="B42" s="18"/>
      <c r="C42" s="18"/>
      <c r="D42" s="18"/>
      <c r="E42" s="18"/>
      <c r="F42" s="18"/>
      <c r="G42" s="13"/>
      <c r="H42" s="18"/>
      <c r="I42" s="18"/>
      <c r="J42" s="19"/>
      <c r="K42" s="18"/>
      <c r="L42" s="19"/>
      <c r="M42" s="18"/>
      <c r="N42" s="18"/>
      <c r="O42" s="20"/>
      <c r="P42" s="13"/>
      <c r="Q42" s="21"/>
      <c r="R42" s="21"/>
      <c r="S42" s="21"/>
      <c r="T42" s="13"/>
      <c r="U42" s="46"/>
      <c r="V42" s="23"/>
      <c r="W42" s="22" t="str">
        <f t="array" ref="W42">IF(A42="","",IFERROR(INDEX(PARAMETROS!$J$2:$J700,MATCH(H42,PARAMETROS!$E$2:$E700,0)),""))</f>
        <v/>
      </c>
      <c r="X42" s="23" t="str">
        <f t="shared" si="0"/>
        <v/>
      </c>
    </row>
    <row r="43" spans="1:24">
      <c r="A43" s="18"/>
      <c r="B43" s="18"/>
      <c r="C43" s="18"/>
      <c r="D43" s="18"/>
      <c r="E43" s="18"/>
      <c r="F43" s="18"/>
      <c r="G43" s="13"/>
      <c r="H43" s="18"/>
      <c r="I43" s="18"/>
      <c r="J43" s="19"/>
      <c r="K43" s="18"/>
      <c r="L43" s="19"/>
      <c r="M43" s="18"/>
      <c r="N43" s="18"/>
      <c r="O43" s="20"/>
      <c r="P43" s="13"/>
      <c r="Q43" s="21"/>
      <c r="R43" s="21"/>
      <c r="S43" s="21"/>
      <c r="T43" s="13"/>
      <c r="U43" s="46"/>
      <c r="V43" s="23"/>
      <c r="W43" s="22" t="str">
        <f t="array" ref="W43">IF(A43="","",IFERROR(INDEX(PARAMETROS!$J$2:$J700,MATCH(H43,PARAMETROS!$E$2:$E700,0)),""))</f>
        <v/>
      </c>
      <c r="X43" s="23" t="str">
        <f t="shared" si="0"/>
        <v/>
      </c>
    </row>
    <row r="44" spans="1:24">
      <c r="A44" s="18"/>
      <c r="B44" s="18"/>
      <c r="C44" s="18"/>
      <c r="D44" s="18"/>
      <c r="E44" s="18"/>
      <c r="F44" s="18"/>
      <c r="G44" s="13"/>
      <c r="H44" s="18"/>
      <c r="I44" s="18"/>
      <c r="J44" s="19"/>
      <c r="K44" s="18"/>
      <c r="L44" s="19"/>
      <c r="M44" s="18"/>
      <c r="N44" s="18"/>
      <c r="O44" s="20"/>
      <c r="P44" s="13"/>
      <c r="Q44" s="21"/>
      <c r="R44" s="21"/>
      <c r="S44" s="21"/>
      <c r="T44" s="13"/>
      <c r="U44" s="46"/>
      <c r="V44" s="23"/>
      <c r="W44" s="22" t="str">
        <f t="array" ref="W44">IF(A44="","",IFERROR(INDEX(PARAMETROS!$J$2:$J700,MATCH(H44,PARAMETROS!$E$2:$E700,0)),""))</f>
        <v/>
      </c>
      <c r="X44" s="23" t="str">
        <f t="shared" si="0"/>
        <v/>
      </c>
    </row>
    <row r="45" spans="1:24">
      <c r="A45" s="18"/>
      <c r="B45" s="18"/>
      <c r="C45" s="18"/>
      <c r="D45" s="18"/>
      <c r="E45" s="18"/>
      <c r="F45" s="18"/>
      <c r="G45" s="13"/>
      <c r="H45" s="18"/>
      <c r="I45" s="18"/>
      <c r="J45" s="19"/>
      <c r="K45" s="18"/>
      <c r="L45" s="19"/>
      <c r="M45" s="18"/>
      <c r="N45" s="18"/>
      <c r="O45" s="20"/>
      <c r="P45" s="13"/>
      <c r="Q45" s="21"/>
      <c r="R45" s="21"/>
      <c r="S45" s="21"/>
      <c r="T45" s="13"/>
      <c r="U45" s="46"/>
      <c r="V45" s="23"/>
      <c r="W45" s="22" t="str">
        <f t="array" ref="W45">IF(A45="","",IFERROR(INDEX(PARAMETROS!$J$2:$J700,MATCH(H45,PARAMETROS!$E$2:$E700,0)),""))</f>
        <v/>
      </c>
      <c r="X45" s="23" t="str">
        <f t="shared" si="0"/>
        <v/>
      </c>
    </row>
    <row r="46" spans="1:24">
      <c r="A46" s="18"/>
      <c r="B46" s="18"/>
      <c r="C46" s="18"/>
      <c r="D46" s="18"/>
      <c r="E46" s="18"/>
      <c r="F46" s="18"/>
      <c r="G46" s="13"/>
      <c r="H46" s="18"/>
      <c r="I46" s="18"/>
      <c r="J46" s="19"/>
      <c r="K46" s="18"/>
      <c r="L46" s="19"/>
      <c r="M46" s="18"/>
      <c r="N46" s="18"/>
      <c r="O46" s="20"/>
      <c r="P46" s="13"/>
      <c r="Q46" s="21"/>
      <c r="R46" s="21"/>
      <c r="S46" s="21"/>
      <c r="T46" s="13"/>
      <c r="U46" s="46"/>
      <c r="V46" s="23"/>
      <c r="W46" s="22" t="str">
        <f t="array" ref="W46">IF(A46="","",IFERROR(INDEX(PARAMETROS!$J$2:$J700,MATCH(H46,PARAMETROS!$E$2:$E700,0)),""))</f>
        <v/>
      </c>
      <c r="X46" s="23" t="str">
        <f t="shared" si="0"/>
        <v/>
      </c>
    </row>
    <row r="47" spans="1:24">
      <c r="A47" s="18"/>
      <c r="B47" s="18"/>
      <c r="C47" s="18"/>
      <c r="D47" s="18"/>
      <c r="E47" s="18"/>
      <c r="F47" s="18"/>
      <c r="G47" s="13"/>
      <c r="H47" s="18"/>
      <c r="I47" s="18"/>
      <c r="J47" s="19"/>
      <c r="K47" s="18"/>
      <c r="L47" s="19"/>
      <c r="M47" s="18"/>
      <c r="N47" s="18"/>
      <c r="O47" s="20"/>
      <c r="P47" s="13"/>
      <c r="Q47" s="21"/>
      <c r="R47" s="21"/>
      <c r="S47" s="21"/>
      <c r="T47" s="13"/>
      <c r="U47" s="46"/>
      <c r="V47" s="23"/>
      <c r="W47" s="22" t="str">
        <f t="array" ref="W47">IF(A47="","",IFERROR(INDEX(PARAMETROS!$J$2:$J700,MATCH(H47,PARAMETROS!$E$2:$E700,0)),""))</f>
        <v/>
      </c>
      <c r="X47" s="23" t="str">
        <f t="shared" si="0"/>
        <v/>
      </c>
    </row>
    <row r="48" spans="1:24">
      <c r="A48" s="18"/>
      <c r="B48" s="18"/>
      <c r="C48" s="18"/>
      <c r="D48" s="18"/>
      <c r="E48" s="18"/>
      <c r="F48" s="18"/>
      <c r="G48" s="13"/>
      <c r="H48" s="18"/>
      <c r="I48" s="18"/>
      <c r="J48" s="19"/>
      <c r="K48" s="18"/>
      <c r="L48" s="19"/>
      <c r="M48" s="18"/>
      <c r="N48" s="18"/>
      <c r="O48" s="20"/>
      <c r="P48" s="13"/>
      <c r="Q48" s="21"/>
      <c r="R48" s="21"/>
      <c r="S48" s="21"/>
      <c r="T48" s="13"/>
      <c r="U48" s="46"/>
      <c r="V48" s="23"/>
      <c r="W48" s="22" t="str">
        <f t="array" ref="W48">IF(A48="","",IFERROR(INDEX(PARAMETROS!$J$2:$J700,MATCH(H48,PARAMETROS!$E$2:$E700,0)),""))</f>
        <v/>
      </c>
      <c r="X48" s="23" t="str">
        <f t="shared" si="0"/>
        <v/>
      </c>
    </row>
    <row r="49" spans="1:24">
      <c r="A49" s="18"/>
      <c r="B49" s="18"/>
      <c r="C49" s="18"/>
      <c r="D49" s="18"/>
      <c r="E49" s="18"/>
      <c r="F49" s="18"/>
      <c r="G49" s="13"/>
      <c r="H49" s="18"/>
      <c r="I49" s="18"/>
      <c r="J49" s="19"/>
      <c r="K49" s="18"/>
      <c r="L49" s="19"/>
      <c r="M49" s="18"/>
      <c r="N49" s="18"/>
      <c r="O49" s="20"/>
      <c r="P49" s="13"/>
      <c r="Q49" s="21"/>
      <c r="R49" s="21"/>
      <c r="S49" s="21"/>
      <c r="T49" s="13"/>
      <c r="U49" s="46"/>
      <c r="V49" s="23"/>
      <c r="W49" s="22" t="str">
        <f t="array" ref="W49">IF(A49="","",IFERROR(INDEX(PARAMETROS!$J$2:$J700,MATCH(H49,PARAMETROS!$E$2:$E700,0)),""))</f>
        <v/>
      </c>
      <c r="X49" s="23" t="str">
        <f t="shared" si="0"/>
        <v/>
      </c>
    </row>
    <row r="50" spans="1:24">
      <c r="A50" s="18"/>
      <c r="B50" s="18"/>
      <c r="C50" s="18"/>
      <c r="D50" s="18"/>
      <c r="E50" s="18"/>
      <c r="F50" s="18"/>
      <c r="G50" s="13"/>
      <c r="H50" s="18"/>
      <c r="I50" s="18"/>
      <c r="J50" s="19"/>
      <c r="K50" s="18"/>
      <c r="L50" s="19"/>
      <c r="M50" s="18"/>
      <c r="N50" s="18"/>
      <c r="O50" s="20"/>
      <c r="P50" s="13"/>
      <c r="Q50" s="21"/>
      <c r="R50" s="21"/>
      <c r="S50" s="21"/>
      <c r="T50" s="13"/>
      <c r="U50" s="46"/>
      <c r="V50" s="23"/>
      <c r="W50" s="22" t="str">
        <f t="array" ref="W50">IF(A50="","",IFERROR(INDEX(PARAMETROS!$J$2:$J700,MATCH(H50,PARAMETROS!$E$2:$E700,0)),""))</f>
        <v/>
      </c>
      <c r="X50" s="23" t="str">
        <f t="shared" si="0"/>
        <v/>
      </c>
    </row>
    <row r="51" spans="1:24">
      <c r="A51" s="18"/>
      <c r="B51" s="18"/>
      <c r="C51" s="18"/>
      <c r="D51" s="18"/>
      <c r="E51" s="18"/>
      <c r="F51" s="18"/>
      <c r="G51" s="13"/>
      <c r="H51" s="18"/>
      <c r="I51" s="18"/>
      <c r="J51" s="19"/>
      <c r="K51" s="18"/>
      <c r="L51" s="19"/>
      <c r="M51" s="18"/>
      <c r="N51" s="18"/>
      <c r="O51" s="20"/>
      <c r="P51" s="13"/>
      <c r="Q51" s="21"/>
      <c r="R51" s="21"/>
      <c r="S51" s="21"/>
      <c r="T51" s="13"/>
      <c r="U51" s="46"/>
      <c r="V51" s="23"/>
      <c r="W51" s="22" t="str">
        <f t="array" ref="W51">IF(A51="","",IFERROR(INDEX(PARAMETROS!$J$2:$J700,MATCH(H51,PARAMETROS!$E$2:$E700,0)),""))</f>
        <v/>
      </c>
      <c r="X51" s="23" t="str">
        <f t="shared" si="0"/>
        <v/>
      </c>
    </row>
    <row r="52" spans="1:24">
      <c r="A52" s="18"/>
      <c r="B52" s="18"/>
      <c r="C52" s="18"/>
      <c r="D52" s="18"/>
      <c r="E52" s="18"/>
      <c r="F52" s="18"/>
      <c r="G52" s="13"/>
      <c r="H52" s="18"/>
      <c r="I52" s="18"/>
      <c r="J52" s="19"/>
      <c r="K52" s="18"/>
      <c r="L52" s="19"/>
      <c r="M52" s="18"/>
      <c r="N52" s="18"/>
      <c r="O52" s="20"/>
      <c r="P52" s="13"/>
      <c r="Q52" s="21"/>
      <c r="R52" s="21"/>
      <c r="S52" s="21"/>
      <c r="T52" s="13"/>
      <c r="U52" s="46"/>
      <c r="V52" s="23"/>
      <c r="W52" s="22" t="str">
        <f t="array" ref="W52">IF(A52="","",IFERROR(INDEX(PARAMETROS!$J$2:$J700,MATCH(H52,PARAMETROS!$E$2:$E700,0)),""))</f>
        <v/>
      </c>
      <c r="X52" s="23" t="str">
        <f t="shared" si="0"/>
        <v/>
      </c>
    </row>
    <row r="53" spans="1:24">
      <c r="A53" s="18"/>
      <c r="B53" s="18"/>
      <c r="C53" s="18"/>
      <c r="D53" s="18"/>
      <c r="E53" s="18"/>
      <c r="F53" s="18"/>
      <c r="G53" s="13"/>
      <c r="H53" s="18"/>
      <c r="I53" s="18"/>
      <c r="J53" s="19"/>
      <c r="K53" s="18"/>
      <c r="L53" s="19"/>
      <c r="M53" s="18"/>
      <c r="N53" s="18"/>
      <c r="O53" s="20"/>
      <c r="P53" s="13"/>
      <c r="Q53" s="21"/>
      <c r="R53" s="21"/>
      <c r="S53" s="21"/>
      <c r="T53" s="13"/>
      <c r="U53" s="46"/>
      <c r="V53" s="23"/>
      <c r="W53" s="22" t="str">
        <f t="array" ref="W53">IF(A53="","",IFERROR(INDEX(PARAMETROS!$J$2:$J700,MATCH(H53,PARAMETROS!$E$2:$E700,0)),""))</f>
        <v/>
      </c>
      <c r="X53" s="23" t="str">
        <f t="shared" si="0"/>
        <v/>
      </c>
    </row>
    <row r="54" spans="1:24">
      <c r="A54" s="18"/>
      <c r="B54" s="18"/>
      <c r="C54" s="18"/>
      <c r="D54" s="18"/>
      <c r="E54" s="18"/>
      <c r="F54" s="18"/>
      <c r="G54" s="13"/>
      <c r="H54" s="18"/>
      <c r="I54" s="18"/>
      <c r="J54" s="19"/>
      <c r="K54" s="18"/>
      <c r="L54" s="19"/>
      <c r="M54" s="18"/>
      <c r="N54" s="18"/>
      <c r="O54" s="20"/>
      <c r="P54" s="13"/>
      <c r="Q54" s="21"/>
      <c r="R54" s="21"/>
      <c r="S54" s="21"/>
      <c r="T54" s="13"/>
      <c r="U54" s="46"/>
      <c r="V54" s="23"/>
      <c r="W54" s="22" t="str">
        <f t="array" ref="W54">IF(A54="","",IFERROR(INDEX(PARAMETROS!$J$2:$J700,MATCH(H54,PARAMETROS!$E$2:$E700,0)),""))</f>
        <v/>
      </c>
      <c r="X54" s="23" t="str">
        <f t="shared" si="0"/>
        <v/>
      </c>
    </row>
    <row r="55" spans="1:24">
      <c r="A55" s="18"/>
      <c r="B55" s="18"/>
      <c r="C55" s="18"/>
      <c r="D55" s="18"/>
      <c r="E55" s="18"/>
      <c r="F55" s="18"/>
      <c r="G55" s="13"/>
      <c r="H55" s="18"/>
      <c r="I55" s="18"/>
      <c r="J55" s="19"/>
      <c r="K55" s="18"/>
      <c r="L55" s="19"/>
      <c r="M55" s="18"/>
      <c r="N55" s="18"/>
      <c r="O55" s="20"/>
      <c r="P55" s="13"/>
      <c r="Q55" s="21"/>
      <c r="R55" s="21"/>
      <c r="S55" s="21"/>
      <c r="T55" s="13"/>
      <c r="U55" s="46"/>
      <c r="V55" s="23"/>
      <c r="W55" s="22" t="str">
        <f t="array" ref="W55">IF(A55="","",IFERROR(INDEX(PARAMETROS!$J$2:$J700,MATCH(H55,PARAMETROS!$E$2:$E700,0)),""))</f>
        <v/>
      </c>
      <c r="X55" s="23" t="str">
        <f t="shared" si="0"/>
        <v/>
      </c>
    </row>
    <row r="56" spans="1:24">
      <c r="A56" s="18"/>
      <c r="B56" s="18"/>
      <c r="C56" s="18"/>
      <c r="D56" s="18"/>
      <c r="E56" s="18"/>
      <c r="F56" s="18"/>
      <c r="G56" s="13"/>
      <c r="H56" s="18"/>
      <c r="I56" s="18"/>
      <c r="J56" s="19"/>
      <c r="K56" s="18"/>
      <c r="L56" s="19"/>
      <c r="M56" s="18"/>
      <c r="N56" s="18"/>
      <c r="O56" s="20"/>
      <c r="P56" s="13"/>
      <c r="Q56" s="21"/>
      <c r="R56" s="21"/>
      <c r="S56" s="21"/>
      <c r="T56" s="13"/>
      <c r="U56" s="46"/>
      <c r="V56" s="23"/>
      <c r="W56" s="22" t="str">
        <f t="array" ref="W56">IF(A56="","",IFERROR(INDEX(PARAMETROS!$J$2:$J700,MATCH(H56,PARAMETROS!$E$2:$E700,0)),""))</f>
        <v/>
      </c>
      <c r="X56" s="23" t="str">
        <f t="shared" si="0"/>
        <v/>
      </c>
    </row>
    <row r="57" spans="1:24">
      <c r="A57" s="18"/>
      <c r="B57" s="18"/>
      <c r="C57" s="18"/>
      <c r="D57" s="18"/>
      <c r="E57" s="18"/>
      <c r="F57" s="18"/>
      <c r="G57" s="13"/>
      <c r="H57" s="18"/>
      <c r="I57" s="18"/>
      <c r="J57" s="19"/>
      <c r="K57" s="18"/>
      <c r="L57" s="19"/>
      <c r="M57" s="18"/>
      <c r="N57" s="18"/>
      <c r="O57" s="20"/>
      <c r="P57" s="13"/>
      <c r="Q57" s="21"/>
      <c r="R57" s="21"/>
      <c r="S57" s="21"/>
      <c r="T57" s="13"/>
      <c r="U57" s="46"/>
      <c r="V57" s="23"/>
      <c r="W57" s="22" t="str">
        <f t="array" ref="W57">IF(A57="","",IFERROR(INDEX(PARAMETROS!$J$2:$J700,MATCH(H57,PARAMETROS!$E$2:$E700,0)),""))</f>
        <v/>
      </c>
      <c r="X57" s="23" t="str">
        <f t="shared" si="0"/>
        <v/>
      </c>
    </row>
    <row r="58" spans="1:24">
      <c r="A58" s="18"/>
      <c r="B58" s="18"/>
      <c r="C58" s="18"/>
      <c r="D58" s="18"/>
      <c r="E58" s="18"/>
      <c r="F58" s="18"/>
      <c r="G58" s="13"/>
      <c r="H58" s="18"/>
      <c r="I58" s="18"/>
      <c r="J58" s="19"/>
      <c r="K58" s="18"/>
      <c r="L58" s="19"/>
      <c r="M58" s="18"/>
      <c r="N58" s="18"/>
      <c r="O58" s="20"/>
      <c r="P58" s="13"/>
      <c r="Q58" s="21"/>
      <c r="R58" s="21"/>
      <c r="S58" s="21"/>
      <c r="T58" s="13"/>
      <c r="U58" s="46"/>
      <c r="V58" s="23"/>
      <c r="W58" s="22" t="str">
        <f t="array" ref="W58">IF(A58="","",IFERROR(INDEX(PARAMETROS!$J$2:$J700,MATCH(H58,PARAMETROS!$E$2:$E700,0)),""))</f>
        <v/>
      </c>
      <c r="X58" s="23" t="str">
        <f t="shared" si="0"/>
        <v/>
      </c>
    </row>
    <row r="59" spans="1:24">
      <c r="A59" s="18"/>
      <c r="B59" s="18"/>
      <c r="C59" s="18"/>
      <c r="D59" s="18"/>
      <c r="E59" s="18"/>
      <c r="F59" s="18"/>
      <c r="G59" s="13"/>
      <c r="H59" s="18"/>
      <c r="I59" s="18"/>
      <c r="J59" s="19"/>
      <c r="K59" s="18"/>
      <c r="L59" s="19"/>
      <c r="M59" s="18"/>
      <c r="N59" s="18"/>
      <c r="O59" s="20"/>
      <c r="P59" s="13"/>
      <c r="Q59" s="21"/>
      <c r="R59" s="21"/>
      <c r="S59" s="21"/>
      <c r="T59" s="13"/>
      <c r="U59" s="46"/>
      <c r="V59" s="23"/>
      <c r="W59" s="22" t="str">
        <f t="array" ref="W59">IF(A59="","",IFERROR(INDEX(PARAMETROS!$J$2:$J700,MATCH(H59,PARAMETROS!$E$2:$E700,0)),""))</f>
        <v/>
      </c>
      <c r="X59" s="23" t="str">
        <f t="shared" si="0"/>
        <v/>
      </c>
    </row>
    <row r="60" spans="1:24">
      <c r="A60" s="18"/>
      <c r="B60" s="18"/>
      <c r="C60" s="18"/>
      <c r="D60" s="18"/>
      <c r="E60" s="18"/>
      <c r="F60" s="18"/>
      <c r="G60" s="13"/>
      <c r="H60" s="18"/>
      <c r="I60" s="18"/>
      <c r="J60" s="19"/>
      <c r="K60" s="18"/>
      <c r="L60" s="19"/>
      <c r="M60" s="18"/>
      <c r="N60" s="18"/>
      <c r="O60" s="20"/>
      <c r="P60" s="13"/>
      <c r="Q60" s="21"/>
      <c r="R60" s="21"/>
      <c r="S60" s="21"/>
      <c r="T60" s="13"/>
      <c r="U60" s="46"/>
      <c r="V60" s="23"/>
      <c r="W60" s="22" t="str">
        <f t="array" ref="W60">IF(A60="","",IFERROR(INDEX(PARAMETROS!$J$2:$J700,MATCH(H60,PARAMETROS!$E$2:$E700,0)),""))</f>
        <v/>
      </c>
      <c r="X60" s="23" t="str">
        <f t="shared" si="0"/>
        <v/>
      </c>
    </row>
    <row r="61" spans="1:24">
      <c r="A61" s="18"/>
      <c r="B61" s="18"/>
      <c r="C61" s="18"/>
      <c r="D61" s="18"/>
      <c r="E61" s="18"/>
      <c r="F61" s="18"/>
      <c r="G61" s="13"/>
      <c r="H61" s="18"/>
      <c r="I61" s="18"/>
      <c r="J61" s="19"/>
      <c r="K61" s="18"/>
      <c r="L61" s="19"/>
      <c r="M61" s="18"/>
      <c r="N61" s="18"/>
      <c r="O61" s="20"/>
      <c r="P61" s="13"/>
      <c r="Q61" s="21"/>
      <c r="R61" s="21"/>
      <c r="S61" s="21"/>
      <c r="T61" s="13"/>
      <c r="U61" s="46"/>
      <c r="V61" s="23"/>
      <c r="W61" s="22" t="str">
        <f t="array" ref="W61">IF(A61="","",IFERROR(INDEX(PARAMETROS!$J$2:$J700,MATCH(H61,PARAMETROS!$E$2:$E700,0)),""))</f>
        <v/>
      </c>
      <c r="X61" s="23" t="str">
        <f t="shared" si="0"/>
        <v/>
      </c>
    </row>
    <row r="62" spans="1:24">
      <c r="A62" s="18"/>
      <c r="B62" s="18"/>
      <c r="C62" s="18"/>
      <c r="D62" s="18"/>
      <c r="E62" s="18"/>
      <c r="F62" s="18"/>
      <c r="G62" s="13"/>
      <c r="H62" s="18"/>
      <c r="I62" s="18"/>
      <c r="J62" s="19"/>
      <c r="K62" s="18"/>
      <c r="L62" s="19"/>
      <c r="M62" s="18"/>
      <c r="N62" s="18"/>
      <c r="O62" s="20"/>
      <c r="P62" s="13"/>
      <c r="Q62" s="21"/>
      <c r="R62" s="21"/>
      <c r="S62" s="21"/>
      <c r="T62" s="13"/>
      <c r="U62" s="46"/>
      <c r="V62" s="23"/>
      <c r="W62" s="22" t="str">
        <f t="array" ref="W62">IF(A62="","",IFERROR(INDEX(PARAMETROS!$J$2:$J700,MATCH(H62,PARAMETROS!$E$2:$E700,0)),""))</f>
        <v/>
      </c>
      <c r="X62" s="23" t="str">
        <f t="shared" si="0"/>
        <v/>
      </c>
    </row>
    <row r="63" spans="1:24">
      <c r="A63" s="18"/>
      <c r="B63" s="18"/>
      <c r="C63" s="18"/>
      <c r="D63" s="18"/>
      <c r="E63" s="18"/>
      <c r="F63" s="18"/>
      <c r="G63" s="13"/>
      <c r="H63" s="18"/>
      <c r="I63" s="18"/>
      <c r="J63" s="19"/>
      <c r="K63" s="18"/>
      <c r="L63" s="19"/>
      <c r="M63" s="18"/>
      <c r="N63" s="18"/>
      <c r="O63" s="20"/>
      <c r="P63" s="13"/>
      <c r="Q63" s="21"/>
      <c r="R63" s="21"/>
      <c r="S63" s="21"/>
      <c r="T63" s="13"/>
      <c r="U63" s="46"/>
      <c r="V63" s="23"/>
      <c r="W63" s="22" t="str">
        <f t="array" ref="W63">IF(A63="","",IFERROR(INDEX(PARAMETROS!$J$2:$J700,MATCH(H63,PARAMETROS!$E$2:$E700,0)),""))</f>
        <v/>
      </c>
      <c r="X63" s="23" t="str">
        <f t="shared" si="0"/>
        <v/>
      </c>
    </row>
    <row r="64" spans="1:24">
      <c r="A64" s="18"/>
      <c r="B64" s="18"/>
      <c r="C64" s="18"/>
      <c r="D64" s="18"/>
      <c r="E64" s="18"/>
      <c r="F64" s="18"/>
      <c r="G64" s="13"/>
      <c r="H64" s="18"/>
      <c r="I64" s="18"/>
      <c r="J64" s="19"/>
      <c r="K64" s="18"/>
      <c r="L64" s="19"/>
      <c r="M64" s="18"/>
      <c r="N64" s="18"/>
      <c r="O64" s="20"/>
      <c r="P64" s="13"/>
      <c r="Q64" s="21"/>
      <c r="R64" s="21"/>
      <c r="S64" s="21"/>
      <c r="T64" s="13"/>
      <c r="U64" s="46"/>
      <c r="V64" s="23"/>
      <c r="W64" s="22" t="str">
        <f t="array" ref="W64">IF(A64="","",IFERROR(INDEX(PARAMETROS!$J$2:$J700,MATCH(H64,PARAMETROS!$E$2:$E700,0)),""))</f>
        <v/>
      </c>
      <c r="X64" s="23" t="str">
        <f t="shared" si="0"/>
        <v/>
      </c>
    </row>
    <row r="65" spans="1:24">
      <c r="A65" s="18"/>
      <c r="B65" s="18"/>
      <c r="C65" s="18"/>
      <c r="D65" s="18"/>
      <c r="E65" s="18"/>
      <c r="F65" s="18"/>
      <c r="G65" s="13"/>
      <c r="H65" s="18"/>
      <c r="I65" s="18"/>
      <c r="J65" s="19"/>
      <c r="K65" s="18"/>
      <c r="L65" s="19"/>
      <c r="M65" s="18"/>
      <c r="N65" s="18"/>
      <c r="O65" s="20"/>
      <c r="P65" s="13"/>
      <c r="Q65" s="21"/>
      <c r="R65" s="21"/>
      <c r="S65" s="21"/>
      <c r="T65" s="13"/>
      <c r="U65" s="46"/>
      <c r="V65" s="23"/>
      <c r="W65" s="22" t="str">
        <f t="array" ref="W65">IF(A65="","",IFERROR(INDEX(PARAMETROS!$J$2:$J700,MATCH(H65,PARAMETROS!$E$2:$E700,0)),""))</f>
        <v/>
      </c>
      <c r="X65" s="23" t="str">
        <f t="shared" si="0"/>
        <v/>
      </c>
    </row>
    <row r="66" spans="1:24">
      <c r="A66" s="18"/>
      <c r="B66" s="18"/>
      <c r="C66" s="18"/>
      <c r="D66" s="18"/>
      <c r="E66" s="18"/>
      <c r="F66" s="18"/>
      <c r="G66" s="13"/>
      <c r="H66" s="18"/>
      <c r="I66" s="18"/>
      <c r="J66" s="19"/>
      <c r="K66" s="18"/>
      <c r="L66" s="19"/>
      <c r="M66" s="18"/>
      <c r="N66" s="18"/>
      <c r="O66" s="20"/>
      <c r="P66" s="13"/>
      <c r="Q66" s="21"/>
      <c r="R66" s="21"/>
      <c r="S66" s="21"/>
      <c r="T66" s="13"/>
      <c r="U66" s="46"/>
      <c r="V66" s="23"/>
      <c r="W66" s="22" t="str">
        <f t="array" ref="W66">IF(A66="","",IFERROR(INDEX(PARAMETROS!$J$2:$J700,MATCH(H66,PARAMETROS!$E$2:$E700,0)),""))</f>
        <v/>
      </c>
      <c r="X66" s="23" t="str">
        <f t="shared" si="0"/>
        <v/>
      </c>
    </row>
    <row r="67" spans="1:24">
      <c r="A67" s="18"/>
      <c r="B67" s="18"/>
      <c r="C67" s="18"/>
      <c r="D67" s="18"/>
      <c r="E67" s="18"/>
      <c r="F67" s="18"/>
      <c r="G67" s="13"/>
      <c r="H67" s="18"/>
      <c r="I67" s="18"/>
      <c r="J67" s="19"/>
      <c r="K67" s="18"/>
      <c r="L67" s="19"/>
      <c r="M67" s="18"/>
      <c r="N67" s="18"/>
      <c r="O67" s="20"/>
      <c r="P67" s="13"/>
      <c r="Q67" s="21"/>
      <c r="R67" s="21"/>
      <c r="S67" s="21"/>
      <c r="T67" s="13"/>
      <c r="U67" s="46"/>
      <c r="V67" s="23"/>
      <c r="W67" s="22" t="str">
        <f t="array" ref="W67">IF(A67="","",IFERROR(INDEX(PARAMETROS!$J$2:$J700,MATCH(H67,PARAMETROS!$E$2:$E700,0)),""))</f>
        <v/>
      </c>
      <c r="X67" s="23" t="str">
        <f t="shared" si="0"/>
        <v/>
      </c>
    </row>
    <row r="68" spans="1:24">
      <c r="A68" s="18"/>
      <c r="B68" s="18"/>
      <c r="C68" s="18"/>
      <c r="D68" s="18"/>
      <c r="E68" s="18"/>
      <c r="F68" s="18"/>
      <c r="G68" s="13"/>
      <c r="H68" s="18"/>
      <c r="I68" s="18"/>
      <c r="J68" s="19"/>
      <c r="K68" s="18"/>
      <c r="L68" s="19"/>
      <c r="M68" s="18"/>
      <c r="N68" s="18"/>
      <c r="O68" s="20"/>
      <c r="P68" s="13"/>
      <c r="Q68" s="21"/>
      <c r="R68" s="21"/>
      <c r="S68" s="21"/>
      <c r="T68" s="13"/>
      <c r="U68" s="46"/>
      <c r="V68" s="23"/>
      <c r="W68" s="22" t="str">
        <f t="array" ref="W68">IF(A68="","",IFERROR(INDEX(PARAMETROS!$J$2:$J700,MATCH(H68,PARAMETROS!$E$2:$E700,0)),""))</f>
        <v/>
      </c>
      <c r="X68" s="23" t="str">
        <f t="shared" si="0"/>
        <v/>
      </c>
    </row>
    <row r="69" spans="1:24">
      <c r="A69" s="18"/>
      <c r="B69" s="18"/>
      <c r="C69" s="18"/>
      <c r="D69" s="18"/>
      <c r="E69" s="18"/>
      <c r="F69" s="18"/>
      <c r="G69" s="13"/>
      <c r="H69" s="18"/>
      <c r="I69" s="18"/>
      <c r="J69" s="19"/>
      <c r="K69" s="18"/>
      <c r="L69" s="19"/>
      <c r="M69" s="18"/>
      <c r="N69" s="18"/>
      <c r="O69" s="20"/>
      <c r="P69" s="13"/>
      <c r="Q69" s="21"/>
      <c r="R69" s="21"/>
      <c r="S69" s="21"/>
      <c r="T69" s="13"/>
      <c r="U69" s="46"/>
      <c r="V69" s="23"/>
      <c r="W69" s="22" t="str">
        <f t="array" ref="W69">IF(A69="","",IFERROR(INDEX(PARAMETROS!$J$2:$J700,MATCH(H69,PARAMETROS!$E$2:$E700,0)),""))</f>
        <v/>
      </c>
      <c r="X69" s="23" t="str">
        <f t="shared" si="0"/>
        <v/>
      </c>
    </row>
    <row r="70" spans="1:24">
      <c r="A70" s="18"/>
      <c r="B70" s="18"/>
      <c r="C70" s="18"/>
      <c r="D70" s="18"/>
      <c r="E70" s="18"/>
      <c r="F70" s="18"/>
      <c r="G70" s="13"/>
      <c r="H70" s="18"/>
      <c r="I70" s="18"/>
      <c r="J70" s="19"/>
      <c r="K70" s="18"/>
      <c r="L70" s="19"/>
      <c r="M70" s="18"/>
      <c r="N70" s="18"/>
      <c r="O70" s="20"/>
      <c r="P70" s="13"/>
      <c r="Q70" s="21"/>
      <c r="R70" s="21"/>
      <c r="S70" s="21"/>
      <c r="T70" s="13"/>
      <c r="U70" s="46"/>
      <c r="V70" s="23"/>
      <c r="W70" s="22" t="str">
        <f t="array" ref="W70">IF(A70="","",IFERROR(INDEX(PARAMETROS!$J$2:$J700,MATCH(H70,PARAMETROS!$E$2:$E700,0)),""))</f>
        <v/>
      </c>
      <c r="X70" s="23" t="str">
        <f t="shared" si="0"/>
        <v/>
      </c>
    </row>
    <row r="71" spans="1:24">
      <c r="A71" s="18"/>
      <c r="B71" s="18"/>
      <c r="C71" s="18"/>
      <c r="D71" s="18"/>
      <c r="E71" s="18"/>
      <c r="F71" s="18"/>
      <c r="G71" s="13"/>
      <c r="H71" s="18"/>
      <c r="I71" s="18"/>
      <c r="J71" s="19"/>
      <c r="K71" s="18"/>
      <c r="L71" s="19"/>
      <c r="M71" s="18"/>
      <c r="N71" s="18"/>
      <c r="O71" s="20"/>
      <c r="P71" s="13"/>
      <c r="Q71" s="21"/>
      <c r="R71" s="21"/>
      <c r="S71" s="21"/>
      <c r="T71" s="13"/>
      <c r="U71" s="46"/>
      <c r="V71" s="23"/>
      <c r="W71" s="22" t="str">
        <f t="array" ref="W71">IF(A71="","",IFERROR(INDEX(PARAMETROS!$J$2:$J700,MATCH(H71,PARAMETROS!$E$2:$E700,0)),""))</f>
        <v/>
      </c>
      <c r="X71" s="23" t="str">
        <f t="shared" si="0"/>
        <v/>
      </c>
    </row>
    <row r="72" spans="1:24">
      <c r="A72" s="18"/>
      <c r="B72" s="18"/>
      <c r="C72" s="18"/>
      <c r="D72" s="18"/>
      <c r="E72" s="18"/>
      <c r="F72" s="18"/>
      <c r="G72" s="13"/>
      <c r="H72" s="18"/>
      <c r="I72" s="18"/>
      <c r="J72" s="19"/>
      <c r="K72" s="18"/>
      <c r="L72" s="19"/>
      <c r="M72" s="18"/>
      <c r="N72" s="18"/>
      <c r="O72" s="20"/>
      <c r="P72" s="13"/>
      <c r="Q72" s="21"/>
      <c r="R72" s="21"/>
      <c r="S72" s="21"/>
      <c r="T72" s="13"/>
      <c r="U72" s="46"/>
      <c r="V72" s="23"/>
      <c r="W72" s="22" t="str">
        <f t="array" ref="W72">IF(A72="","",IFERROR(INDEX(PARAMETROS!$J$2:$J700,MATCH(H72,PARAMETROS!$E$2:$E700,0)),""))</f>
        <v/>
      </c>
      <c r="X72" s="23" t="str">
        <f t="shared" si="0"/>
        <v/>
      </c>
    </row>
    <row r="73" spans="1:24">
      <c r="A73" s="18"/>
      <c r="B73" s="18"/>
      <c r="C73" s="18"/>
      <c r="D73" s="18"/>
      <c r="E73" s="18"/>
      <c r="F73" s="18"/>
      <c r="G73" s="13"/>
      <c r="H73" s="18"/>
      <c r="I73" s="18"/>
      <c r="J73" s="19"/>
      <c r="K73" s="18"/>
      <c r="L73" s="19"/>
      <c r="M73" s="18"/>
      <c r="N73" s="18"/>
      <c r="O73" s="20"/>
      <c r="P73" s="13"/>
      <c r="Q73" s="21"/>
      <c r="R73" s="21"/>
      <c r="S73" s="21"/>
      <c r="T73" s="13"/>
      <c r="U73" s="46"/>
      <c r="V73" s="23"/>
      <c r="W73" s="22" t="str">
        <f t="array" ref="W73">IF(A73="","",IFERROR(INDEX(PARAMETROS!$J$2:$J700,MATCH(H73,PARAMETROS!$E$2:$E700,0)),""))</f>
        <v/>
      </c>
      <c r="X73" s="23" t="str">
        <f t="shared" si="0"/>
        <v/>
      </c>
    </row>
    <row r="74" spans="1:24">
      <c r="A74" s="18"/>
      <c r="B74" s="18"/>
      <c r="C74" s="18"/>
      <c r="D74" s="18"/>
      <c r="E74" s="18"/>
      <c r="F74" s="18"/>
      <c r="G74" s="13"/>
      <c r="H74" s="18"/>
      <c r="I74" s="18"/>
      <c r="J74" s="19"/>
      <c r="K74" s="18"/>
      <c r="L74" s="19"/>
      <c r="M74" s="18"/>
      <c r="N74" s="18"/>
      <c r="O74" s="20"/>
      <c r="P74" s="13"/>
      <c r="Q74" s="21"/>
      <c r="R74" s="21"/>
      <c r="S74" s="21"/>
      <c r="T74" s="13"/>
      <c r="U74" s="46"/>
      <c r="V74" s="23"/>
      <c r="W74" s="22" t="str">
        <f t="array" ref="W74">IF(A74="","",IFERROR(INDEX(PARAMETROS!$J$2:$J700,MATCH(H74,PARAMETROS!$E$2:$E700,0)),""))</f>
        <v/>
      </c>
      <c r="X74" s="23" t="str">
        <f t="shared" si="0"/>
        <v/>
      </c>
    </row>
    <row r="75" spans="1:24">
      <c r="A75" s="18"/>
      <c r="B75" s="18"/>
      <c r="C75" s="18"/>
      <c r="D75" s="18"/>
      <c r="E75" s="18"/>
      <c r="F75" s="18"/>
      <c r="G75" s="13"/>
      <c r="H75" s="18"/>
      <c r="I75" s="18"/>
      <c r="J75" s="19"/>
      <c r="K75" s="18"/>
      <c r="L75" s="19"/>
      <c r="M75" s="18"/>
      <c r="N75" s="18"/>
      <c r="O75" s="20"/>
      <c r="P75" s="13"/>
      <c r="Q75" s="21"/>
      <c r="R75" s="21"/>
      <c r="S75" s="21"/>
      <c r="T75" s="13"/>
      <c r="U75" s="46"/>
      <c r="V75" s="23"/>
      <c r="W75" s="22" t="str">
        <f t="array" ref="W75">IF(A75="","",IFERROR(INDEX(PARAMETROS!$J$2:$J700,MATCH(H75,PARAMETROS!$E$2:$E700,0)),""))</f>
        <v/>
      </c>
      <c r="X75" s="23" t="str">
        <f t="shared" si="0"/>
        <v/>
      </c>
    </row>
    <row r="76" spans="1:24">
      <c r="A76" s="18"/>
      <c r="B76" s="18"/>
      <c r="C76" s="18"/>
      <c r="D76" s="18"/>
      <c r="E76" s="18"/>
      <c r="F76" s="18"/>
      <c r="G76" s="13"/>
      <c r="H76" s="18"/>
      <c r="I76" s="18"/>
      <c r="J76" s="19"/>
      <c r="K76" s="18"/>
      <c r="L76" s="19"/>
      <c r="M76" s="18"/>
      <c r="N76" s="18"/>
      <c r="O76" s="20"/>
      <c r="P76" s="13"/>
      <c r="Q76" s="21"/>
      <c r="R76" s="21"/>
      <c r="S76" s="21"/>
      <c r="T76" s="13"/>
      <c r="U76" s="46"/>
      <c r="V76" s="23"/>
      <c r="W76" s="22" t="str">
        <f t="array" ref="W76">IF(A76="","",IFERROR(INDEX(PARAMETROS!$J$2:$J700,MATCH(H76,PARAMETROS!$E$2:$E700,0)),""))</f>
        <v/>
      </c>
      <c r="X76" s="23" t="str">
        <f t="shared" si="0"/>
        <v/>
      </c>
    </row>
    <row r="77" spans="1:24">
      <c r="A77" s="18"/>
      <c r="B77" s="18"/>
      <c r="C77" s="18"/>
      <c r="D77" s="18"/>
      <c r="E77" s="18"/>
      <c r="F77" s="18"/>
      <c r="G77" s="13"/>
      <c r="H77" s="18"/>
      <c r="I77" s="18"/>
      <c r="J77" s="19"/>
      <c r="K77" s="18"/>
      <c r="L77" s="19"/>
      <c r="M77" s="18"/>
      <c r="N77" s="18"/>
      <c r="O77" s="20"/>
      <c r="P77" s="13"/>
      <c r="Q77" s="21"/>
      <c r="R77" s="21"/>
      <c r="S77" s="21"/>
      <c r="T77" s="13"/>
      <c r="U77" s="46"/>
      <c r="V77" s="23"/>
      <c r="W77" s="22" t="str">
        <f t="array" ref="W77">IF(A77="","",IFERROR(INDEX(PARAMETROS!$J$2:$J700,MATCH(H77,PARAMETROS!$E$2:$E700,0)),""))</f>
        <v/>
      </c>
      <c r="X77" s="23" t="str">
        <f t="shared" si="0"/>
        <v/>
      </c>
    </row>
    <row r="78" spans="1:24">
      <c r="A78" s="18"/>
      <c r="B78" s="18"/>
      <c r="C78" s="18"/>
      <c r="D78" s="18"/>
      <c r="E78" s="18"/>
      <c r="F78" s="18"/>
      <c r="G78" s="13"/>
      <c r="H78" s="18"/>
      <c r="I78" s="18"/>
      <c r="J78" s="19"/>
      <c r="K78" s="18"/>
      <c r="L78" s="19"/>
      <c r="M78" s="18"/>
      <c r="N78" s="18"/>
      <c r="O78" s="20"/>
      <c r="P78" s="13"/>
      <c r="Q78" s="21"/>
      <c r="R78" s="21"/>
      <c r="S78" s="21"/>
      <c r="T78" s="13"/>
      <c r="U78" s="46"/>
      <c r="V78" s="23"/>
      <c r="W78" s="22" t="str">
        <f t="array" ref="W78">IF(A78="","",IFERROR(INDEX(PARAMETROS!$J$2:$J700,MATCH(H78,PARAMETROS!$E$2:$E700,0)),""))</f>
        <v/>
      </c>
      <c r="X78" s="23" t="str">
        <f t="shared" si="0"/>
        <v/>
      </c>
    </row>
    <row r="79" spans="1:24">
      <c r="A79" s="18"/>
      <c r="B79" s="18"/>
      <c r="C79" s="18"/>
      <c r="D79" s="18"/>
      <c r="E79" s="18"/>
      <c r="F79" s="18"/>
      <c r="G79" s="13"/>
      <c r="H79" s="18"/>
      <c r="I79" s="18"/>
      <c r="J79" s="19"/>
      <c r="K79" s="18"/>
      <c r="L79" s="19"/>
      <c r="M79" s="18"/>
      <c r="N79" s="18"/>
      <c r="O79" s="20"/>
      <c r="P79" s="13"/>
      <c r="Q79" s="21"/>
      <c r="R79" s="21"/>
      <c r="S79" s="21"/>
      <c r="T79" s="13"/>
      <c r="U79" s="46"/>
      <c r="V79" s="23"/>
      <c r="W79" s="22" t="str">
        <f t="array" ref="W79">IF(A79="","",IFERROR(INDEX(PARAMETROS!$J$2:$J700,MATCH(H79,PARAMETROS!$E$2:$E700,0)),""))</f>
        <v/>
      </c>
      <c r="X79" s="23" t="str">
        <f t="shared" si="0"/>
        <v/>
      </c>
    </row>
    <row r="80" spans="1:24">
      <c r="A80" s="18"/>
      <c r="B80" s="18"/>
      <c r="C80" s="18"/>
      <c r="D80" s="18"/>
      <c r="E80" s="18"/>
      <c r="F80" s="18"/>
      <c r="G80" s="13"/>
      <c r="H80" s="18"/>
      <c r="I80" s="18"/>
      <c r="J80" s="19"/>
      <c r="K80" s="18"/>
      <c r="L80" s="19"/>
      <c r="M80" s="18"/>
      <c r="N80" s="18"/>
      <c r="O80" s="20"/>
      <c r="P80" s="13"/>
      <c r="Q80" s="21"/>
      <c r="R80" s="21"/>
      <c r="S80" s="21"/>
      <c r="T80" s="13"/>
      <c r="U80" s="46"/>
      <c r="V80" s="23"/>
      <c r="W80" s="22" t="str">
        <f t="array" ref="W80">IF(A80="","",IFERROR(INDEX(PARAMETROS!$J$2:$J700,MATCH(H80,PARAMETROS!$E$2:$E700,0)),""))</f>
        <v/>
      </c>
      <c r="X80" s="23" t="str">
        <f t="shared" si="0"/>
        <v/>
      </c>
    </row>
    <row r="81" spans="1:24">
      <c r="A81" s="18"/>
      <c r="B81" s="18"/>
      <c r="C81" s="18"/>
      <c r="D81" s="18"/>
      <c r="E81" s="18"/>
      <c r="F81" s="18"/>
      <c r="G81" s="13"/>
      <c r="H81" s="18"/>
      <c r="I81" s="18"/>
      <c r="J81" s="19"/>
      <c r="K81" s="18"/>
      <c r="L81" s="19"/>
      <c r="M81" s="18"/>
      <c r="N81" s="18"/>
      <c r="O81" s="20"/>
      <c r="P81" s="13"/>
      <c r="Q81" s="21"/>
      <c r="R81" s="21"/>
      <c r="S81" s="21"/>
      <c r="T81" s="13"/>
      <c r="U81" s="46"/>
      <c r="V81" s="23"/>
      <c r="W81" s="22" t="str">
        <f t="array" ref="W81">IF(A81="","",IFERROR(INDEX(PARAMETROS!$J$2:$J700,MATCH(H81,PARAMETROS!$E$2:$E700,0)),""))</f>
        <v/>
      </c>
      <c r="X81" s="23" t="str">
        <f t="shared" si="0"/>
        <v/>
      </c>
    </row>
    <row r="82" spans="1:24">
      <c r="A82" s="18"/>
      <c r="B82" s="18"/>
      <c r="C82" s="18"/>
      <c r="D82" s="18"/>
      <c r="E82" s="18"/>
      <c r="F82" s="18"/>
      <c r="G82" s="13"/>
      <c r="H82" s="18"/>
      <c r="I82" s="18"/>
      <c r="J82" s="19"/>
      <c r="K82" s="18"/>
      <c r="L82" s="19"/>
      <c r="M82" s="18"/>
      <c r="N82" s="18"/>
      <c r="O82" s="20"/>
      <c r="P82" s="13"/>
      <c r="Q82" s="21"/>
      <c r="R82" s="21"/>
      <c r="S82" s="21"/>
      <c r="T82" s="13"/>
      <c r="U82" s="46"/>
      <c r="V82" s="23"/>
      <c r="W82" s="22" t="str">
        <f t="array" ref="W82">IF(A82="","",IFERROR(INDEX(PARAMETROS!$J$2:$J700,MATCH(H82,PARAMETROS!$E$2:$E700,0)),""))</f>
        <v/>
      </c>
      <c r="X82" s="23" t="str">
        <f t="shared" si="0"/>
        <v/>
      </c>
    </row>
    <row r="83" spans="1:24">
      <c r="A83" s="18"/>
      <c r="B83" s="18"/>
      <c r="C83" s="18"/>
      <c r="D83" s="18"/>
      <c r="E83" s="18"/>
      <c r="F83" s="18"/>
      <c r="G83" s="13"/>
      <c r="H83" s="18"/>
      <c r="I83" s="18"/>
      <c r="J83" s="19"/>
      <c r="K83" s="18"/>
      <c r="L83" s="19"/>
      <c r="M83" s="18"/>
      <c r="N83" s="18"/>
      <c r="O83" s="20"/>
      <c r="P83" s="13"/>
      <c r="Q83" s="21"/>
      <c r="R83" s="21"/>
      <c r="S83" s="21"/>
      <c r="T83" s="13"/>
      <c r="U83" s="46"/>
      <c r="V83" s="23"/>
      <c r="W83" s="22" t="str">
        <f t="array" ref="W83">IF(A83="","",IFERROR(INDEX(PARAMETROS!$J$2:$J700,MATCH(H83,PARAMETROS!$E$2:$E700,0)),""))</f>
        <v/>
      </c>
      <c r="X83" s="23" t="str">
        <f t="shared" si="0"/>
        <v/>
      </c>
    </row>
    <row r="84" spans="1:24">
      <c r="A84" s="18"/>
      <c r="B84" s="18"/>
      <c r="C84" s="18"/>
      <c r="D84" s="18"/>
      <c r="E84" s="18"/>
      <c r="F84" s="18"/>
      <c r="G84" s="13"/>
      <c r="H84" s="18"/>
      <c r="I84" s="18"/>
      <c r="J84" s="19"/>
      <c r="K84" s="18"/>
      <c r="L84" s="19"/>
      <c r="M84" s="18"/>
      <c r="N84" s="18"/>
      <c r="O84" s="20"/>
      <c r="P84" s="13"/>
      <c r="Q84" s="21"/>
      <c r="R84" s="21"/>
      <c r="S84" s="21"/>
      <c r="T84" s="13"/>
      <c r="U84" s="46"/>
      <c r="V84" s="23"/>
      <c r="W84" s="22" t="str">
        <f t="array" ref="W84">IF(A84="","",IFERROR(INDEX(PARAMETROS!$J$2:$J700,MATCH(H84,PARAMETROS!$E$2:$E700,0)),""))</f>
        <v/>
      </c>
      <c r="X84" s="23" t="str">
        <f t="shared" si="0"/>
        <v/>
      </c>
    </row>
    <row r="85" spans="1:24">
      <c r="A85" s="18"/>
      <c r="B85" s="18"/>
      <c r="C85" s="18"/>
      <c r="D85" s="18"/>
      <c r="E85" s="18"/>
      <c r="F85" s="18"/>
      <c r="G85" s="13"/>
      <c r="H85" s="18"/>
      <c r="I85" s="18"/>
      <c r="J85" s="19"/>
      <c r="K85" s="18"/>
      <c r="L85" s="19"/>
      <c r="M85" s="18"/>
      <c r="N85" s="18"/>
      <c r="O85" s="20"/>
      <c r="P85" s="13"/>
      <c r="Q85" s="21"/>
      <c r="R85" s="21"/>
      <c r="S85" s="21"/>
      <c r="T85" s="13"/>
      <c r="U85" s="46"/>
      <c r="V85" s="23"/>
      <c r="W85" s="22" t="str">
        <f t="array" ref="W85">IF(A85="","",IFERROR(INDEX(PARAMETROS!$J$2:$J700,MATCH(H85,PARAMETROS!$E$2:$E700,0)),""))</f>
        <v/>
      </c>
      <c r="X85" s="23" t="str">
        <f t="shared" si="0"/>
        <v/>
      </c>
    </row>
    <row r="86" spans="1:24">
      <c r="A86" s="18"/>
      <c r="B86" s="18"/>
      <c r="C86" s="18"/>
      <c r="D86" s="18"/>
      <c r="E86" s="18"/>
      <c r="F86" s="18"/>
      <c r="G86" s="13"/>
      <c r="H86" s="18"/>
      <c r="I86" s="18"/>
      <c r="J86" s="19"/>
      <c r="K86" s="18"/>
      <c r="L86" s="19"/>
      <c r="M86" s="18"/>
      <c r="N86" s="18"/>
      <c r="O86" s="20"/>
      <c r="P86" s="13"/>
      <c r="Q86" s="21"/>
      <c r="R86" s="21"/>
      <c r="S86" s="21"/>
      <c r="T86" s="13"/>
      <c r="U86" s="46"/>
      <c r="V86" s="23"/>
      <c r="W86" s="22" t="str">
        <f t="array" ref="W86">IF(A86="","",IFERROR(INDEX(PARAMETROS!$J$2:$J700,MATCH(H86,PARAMETROS!$E$2:$E700,0)),""))</f>
        <v/>
      </c>
      <c r="X86" s="23" t="str">
        <f t="shared" si="0"/>
        <v/>
      </c>
    </row>
    <row r="87" spans="1:24">
      <c r="A87" s="18"/>
      <c r="B87" s="18"/>
      <c r="C87" s="18"/>
      <c r="D87" s="18"/>
      <c r="E87" s="18"/>
      <c r="F87" s="18"/>
      <c r="G87" s="13"/>
      <c r="H87" s="18"/>
      <c r="I87" s="18"/>
      <c r="J87" s="19"/>
      <c r="K87" s="18"/>
      <c r="L87" s="19"/>
      <c r="M87" s="18"/>
      <c r="N87" s="18"/>
      <c r="O87" s="20"/>
      <c r="P87" s="13"/>
      <c r="Q87" s="21"/>
      <c r="R87" s="21"/>
      <c r="S87" s="21"/>
      <c r="T87" s="13"/>
      <c r="U87" s="46"/>
      <c r="V87" s="23"/>
      <c r="W87" s="22" t="str">
        <f t="array" ref="W87">IF(A87="","",IFERROR(INDEX(PARAMETROS!$J$2:$J700,MATCH(H87,PARAMETROS!$E$2:$E700,0)),""))</f>
        <v/>
      </c>
      <c r="X87" s="23" t="str">
        <f t="shared" si="0"/>
        <v/>
      </c>
    </row>
    <row r="88" spans="1:24">
      <c r="A88" s="18"/>
      <c r="B88" s="18"/>
      <c r="C88" s="18"/>
      <c r="D88" s="18"/>
      <c r="E88" s="18"/>
      <c r="F88" s="18"/>
      <c r="G88" s="13"/>
      <c r="H88" s="18"/>
      <c r="I88" s="18"/>
      <c r="J88" s="19"/>
      <c r="K88" s="18"/>
      <c r="L88" s="19"/>
      <c r="M88" s="18"/>
      <c r="N88" s="18"/>
      <c r="O88" s="20"/>
      <c r="P88" s="13"/>
      <c r="Q88" s="21"/>
      <c r="R88" s="21"/>
      <c r="S88" s="21"/>
      <c r="T88" s="13"/>
      <c r="U88" s="46"/>
      <c r="V88" s="23"/>
      <c r="W88" s="22" t="str">
        <f t="array" ref="W88">IF(A88="","",IFERROR(INDEX(PARAMETROS!$J$2:$J700,MATCH(H88,PARAMETROS!$E$2:$E700,0)),""))</f>
        <v/>
      </c>
      <c r="X88" s="23" t="str">
        <f t="shared" si="0"/>
        <v/>
      </c>
    </row>
    <row r="89" spans="1:24">
      <c r="A89" s="18"/>
      <c r="B89" s="18"/>
      <c r="C89" s="18"/>
      <c r="D89" s="18"/>
      <c r="E89" s="18"/>
      <c r="F89" s="18"/>
      <c r="G89" s="13"/>
      <c r="H89" s="18"/>
      <c r="I89" s="18"/>
      <c r="J89" s="19"/>
      <c r="K89" s="18"/>
      <c r="L89" s="19"/>
      <c r="M89" s="18"/>
      <c r="N89" s="18"/>
      <c r="O89" s="20"/>
      <c r="P89" s="13"/>
      <c r="Q89" s="21"/>
      <c r="R89" s="21"/>
      <c r="S89" s="21"/>
      <c r="T89" s="13"/>
      <c r="U89" s="46"/>
      <c r="V89" s="23"/>
      <c r="W89" s="22" t="str">
        <f t="array" ref="W89">IF(A89="","",IFERROR(INDEX(PARAMETROS!$J$2:$J700,MATCH(H89,PARAMETROS!$E$2:$E700,0)),""))</f>
        <v/>
      </c>
      <c r="X89" s="23" t="str">
        <f t="shared" si="0"/>
        <v/>
      </c>
    </row>
    <row r="90" spans="1:24">
      <c r="A90" s="18"/>
      <c r="B90" s="18"/>
      <c r="C90" s="18"/>
      <c r="D90" s="18"/>
      <c r="E90" s="18"/>
      <c r="F90" s="18"/>
      <c r="G90" s="13"/>
      <c r="H90" s="18"/>
      <c r="I90" s="18"/>
      <c r="J90" s="19"/>
      <c r="K90" s="18"/>
      <c r="L90" s="19"/>
      <c r="M90" s="18"/>
      <c r="N90" s="18"/>
      <c r="O90" s="20"/>
      <c r="P90" s="13"/>
      <c r="Q90" s="21"/>
      <c r="R90" s="21"/>
      <c r="S90" s="21"/>
      <c r="T90" s="13"/>
      <c r="U90" s="46"/>
      <c r="V90" s="23"/>
      <c r="W90" s="22" t="str">
        <f t="array" ref="W90">IF(A90="","",IFERROR(INDEX(PARAMETROS!$J$2:$J700,MATCH(H90,PARAMETROS!$E$2:$E700,0)),""))</f>
        <v/>
      </c>
      <c r="X90" s="23" t="str">
        <f t="shared" si="0"/>
        <v/>
      </c>
    </row>
    <row r="91" spans="1:24">
      <c r="A91" s="18"/>
      <c r="B91" s="18"/>
      <c r="C91" s="18"/>
      <c r="D91" s="18"/>
      <c r="E91" s="18"/>
      <c r="F91" s="18"/>
      <c r="G91" s="13"/>
      <c r="H91" s="18"/>
      <c r="I91" s="18"/>
      <c r="J91" s="19"/>
      <c r="K91" s="18"/>
      <c r="L91" s="19"/>
      <c r="M91" s="18"/>
      <c r="N91" s="18"/>
      <c r="O91" s="20"/>
      <c r="P91" s="13"/>
      <c r="Q91" s="21"/>
      <c r="R91" s="21"/>
      <c r="S91" s="21"/>
      <c r="T91" s="13"/>
      <c r="U91" s="46"/>
      <c r="V91" s="23"/>
      <c r="W91" s="22" t="str">
        <f t="array" ref="W91">IF(A91="","",IFERROR(INDEX(PARAMETROS!$J$2:$J700,MATCH(H91,PARAMETROS!$E$2:$E700,0)),""))</f>
        <v/>
      </c>
      <c r="X91" s="23" t="str">
        <f t="shared" si="0"/>
        <v/>
      </c>
    </row>
    <row r="92" spans="1:24">
      <c r="A92" s="18"/>
      <c r="B92" s="18"/>
      <c r="C92" s="18"/>
      <c r="D92" s="18"/>
      <c r="E92" s="18"/>
      <c r="F92" s="18"/>
      <c r="G92" s="13"/>
      <c r="H92" s="18"/>
      <c r="I92" s="18"/>
      <c r="J92" s="19"/>
      <c r="K92" s="18"/>
      <c r="L92" s="19"/>
      <c r="M92" s="18"/>
      <c r="N92" s="18"/>
      <c r="O92" s="20"/>
      <c r="P92" s="13"/>
      <c r="Q92" s="21"/>
      <c r="R92" s="21"/>
      <c r="S92" s="21"/>
      <c r="T92" s="13"/>
      <c r="U92" s="46"/>
      <c r="V92" s="23"/>
      <c r="W92" s="22" t="str">
        <f t="array" ref="W92">IF(A92="","",IFERROR(INDEX(PARAMETROS!$J$2:$J700,MATCH(H92,PARAMETROS!$E$2:$E700,0)),""))</f>
        <v/>
      </c>
      <c r="X92" s="23" t="str">
        <f t="shared" si="0"/>
        <v/>
      </c>
    </row>
    <row r="93" spans="1:24">
      <c r="A93" s="18"/>
      <c r="B93" s="18"/>
      <c r="C93" s="18"/>
      <c r="D93" s="18"/>
      <c r="E93" s="18"/>
      <c r="F93" s="18"/>
      <c r="G93" s="13"/>
      <c r="H93" s="18"/>
      <c r="I93" s="18"/>
      <c r="J93" s="19"/>
      <c r="K93" s="18"/>
      <c r="L93" s="19"/>
      <c r="M93" s="18"/>
      <c r="N93" s="18"/>
      <c r="O93" s="20"/>
      <c r="P93" s="13"/>
      <c r="Q93" s="21"/>
      <c r="R93" s="21"/>
      <c r="S93" s="21"/>
      <c r="T93" s="13"/>
      <c r="U93" s="46"/>
      <c r="V93" s="23"/>
      <c r="W93" s="22" t="str">
        <f t="array" ref="W93">IF(A93="","",IFERROR(INDEX(PARAMETROS!$J$2:$J700,MATCH(H93,PARAMETROS!$E$2:$E700,0)),""))</f>
        <v/>
      </c>
      <c r="X93" s="23" t="str">
        <f t="shared" si="0"/>
        <v/>
      </c>
    </row>
    <row r="94" spans="1:24">
      <c r="A94" s="18"/>
      <c r="B94" s="18"/>
      <c r="C94" s="18"/>
      <c r="D94" s="18"/>
      <c r="E94" s="18"/>
      <c r="F94" s="18"/>
      <c r="G94" s="13"/>
      <c r="H94" s="18"/>
      <c r="I94" s="18"/>
      <c r="J94" s="19"/>
      <c r="K94" s="18"/>
      <c r="L94" s="19"/>
      <c r="M94" s="18"/>
      <c r="N94" s="18"/>
      <c r="O94" s="20"/>
      <c r="P94" s="13"/>
      <c r="Q94" s="21"/>
      <c r="R94" s="21"/>
      <c r="S94" s="21"/>
      <c r="T94" s="13"/>
      <c r="U94" s="46"/>
      <c r="V94" s="23"/>
      <c r="W94" s="22" t="str">
        <f t="array" ref="W94">IF(A94="","",IFERROR(INDEX(PARAMETROS!$J$2:$J700,MATCH(H94,PARAMETROS!$E$2:$E700,0)),""))</f>
        <v/>
      </c>
      <c r="X94" s="23" t="str">
        <f t="shared" si="0"/>
        <v/>
      </c>
    </row>
    <row r="95" spans="1:24">
      <c r="A95" s="18"/>
      <c r="B95" s="18"/>
      <c r="C95" s="18"/>
      <c r="D95" s="18"/>
      <c r="E95" s="18"/>
      <c r="F95" s="18"/>
      <c r="G95" s="13"/>
      <c r="H95" s="18"/>
      <c r="I95" s="18"/>
      <c r="J95" s="19"/>
      <c r="K95" s="18"/>
      <c r="L95" s="19"/>
      <c r="M95" s="18"/>
      <c r="N95" s="18"/>
      <c r="O95" s="20"/>
      <c r="P95" s="13"/>
      <c r="Q95" s="21"/>
      <c r="R95" s="21"/>
      <c r="S95" s="21"/>
      <c r="T95" s="13"/>
      <c r="U95" s="46"/>
      <c r="V95" s="23"/>
      <c r="W95" s="22" t="str">
        <f t="array" ref="W95">IF(A95="","",IFERROR(INDEX(PARAMETROS!$J$2:$J700,MATCH(H95,PARAMETROS!$E$2:$E700,0)),""))</f>
        <v/>
      </c>
      <c r="X95" s="23" t="str">
        <f t="shared" si="0"/>
        <v/>
      </c>
    </row>
    <row r="96" spans="1:24">
      <c r="A96" s="18"/>
      <c r="B96" s="18"/>
      <c r="C96" s="18"/>
      <c r="D96" s="18"/>
      <c r="E96" s="18"/>
      <c r="F96" s="18"/>
      <c r="G96" s="13"/>
      <c r="H96" s="18"/>
      <c r="I96" s="18"/>
      <c r="J96" s="19"/>
      <c r="K96" s="18"/>
      <c r="L96" s="19"/>
      <c r="M96" s="18"/>
      <c r="N96" s="18"/>
      <c r="O96" s="20"/>
      <c r="P96" s="13"/>
      <c r="Q96" s="21"/>
      <c r="R96" s="21"/>
      <c r="S96" s="21"/>
      <c r="T96" s="13"/>
      <c r="U96" s="46"/>
      <c r="V96" s="23"/>
      <c r="W96" s="22" t="str">
        <f t="array" ref="W96">IF(A96="","",IFERROR(INDEX(PARAMETROS!$J$2:$J700,MATCH(H96,PARAMETROS!$E$2:$E700,0)),""))</f>
        <v/>
      </c>
      <c r="X96" s="23" t="str">
        <f t="shared" si="0"/>
        <v/>
      </c>
    </row>
    <row r="97" spans="1:24">
      <c r="A97" s="18"/>
      <c r="B97" s="18"/>
      <c r="C97" s="18"/>
      <c r="D97" s="18"/>
      <c r="E97" s="18"/>
      <c r="F97" s="18"/>
      <c r="G97" s="13"/>
      <c r="H97" s="18"/>
      <c r="I97" s="18"/>
      <c r="J97" s="19"/>
      <c r="K97" s="18"/>
      <c r="L97" s="19"/>
      <c r="M97" s="18"/>
      <c r="N97" s="18"/>
      <c r="O97" s="20"/>
      <c r="P97" s="13"/>
      <c r="Q97" s="21"/>
      <c r="R97" s="21"/>
      <c r="S97" s="21"/>
      <c r="T97" s="13"/>
      <c r="U97" s="46"/>
      <c r="V97" s="23"/>
      <c r="W97" s="22" t="str">
        <f t="array" ref="W97">IF(A97="","",IFERROR(INDEX(PARAMETROS!$J$2:$J700,MATCH(H97,PARAMETROS!$E$2:$E700,0)),""))</f>
        <v/>
      </c>
      <c r="X97" s="23" t="str">
        <f t="shared" si="0"/>
        <v/>
      </c>
    </row>
    <row r="98" spans="1:24">
      <c r="A98" s="18"/>
      <c r="B98" s="18"/>
      <c r="C98" s="18"/>
      <c r="D98" s="18"/>
      <c r="E98" s="18"/>
      <c r="F98" s="18"/>
      <c r="G98" s="13"/>
      <c r="H98" s="18"/>
      <c r="I98" s="18"/>
      <c r="J98" s="19"/>
      <c r="K98" s="18"/>
      <c r="L98" s="19"/>
      <c r="M98" s="18"/>
      <c r="N98" s="18"/>
      <c r="O98" s="20"/>
      <c r="P98" s="13"/>
      <c r="Q98" s="21"/>
      <c r="R98" s="21"/>
      <c r="S98" s="21"/>
      <c r="T98" s="13"/>
      <c r="U98" s="46"/>
      <c r="V98" s="23"/>
      <c r="W98" s="22" t="str">
        <f t="array" ref="W98">IF(A98="","",IFERROR(INDEX(PARAMETROS!$J$2:$J700,MATCH(H98,PARAMETROS!$E$2:$E700,0)),""))</f>
        <v/>
      </c>
      <c r="X98" s="23" t="str">
        <f t="shared" si="0"/>
        <v/>
      </c>
    </row>
    <row r="99" spans="1:24">
      <c r="A99" s="18"/>
      <c r="B99" s="18"/>
      <c r="C99" s="18"/>
      <c r="D99" s="18"/>
      <c r="E99" s="18"/>
      <c r="F99" s="18"/>
      <c r="G99" s="13"/>
      <c r="H99" s="18"/>
      <c r="I99" s="18"/>
      <c r="J99" s="19"/>
      <c r="K99" s="18"/>
      <c r="L99" s="19"/>
      <c r="M99" s="18"/>
      <c r="N99" s="18"/>
      <c r="O99" s="20"/>
      <c r="P99" s="13"/>
      <c r="Q99" s="21"/>
      <c r="R99" s="21"/>
      <c r="S99" s="21"/>
      <c r="T99" s="13"/>
      <c r="U99" s="46"/>
      <c r="V99" s="23"/>
      <c r="W99" s="22" t="str">
        <f t="array" ref="W99">IF(A99="","",IFERROR(INDEX(PARAMETROS!$J$2:$J700,MATCH(H99,PARAMETROS!$E$2:$E700,0)),""))</f>
        <v/>
      </c>
      <c r="X99" s="23" t="str">
        <f t="shared" si="0"/>
        <v/>
      </c>
    </row>
    <row r="100" spans="1:24">
      <c r="A100" s="18"/>
      <c r="B100" s="18"/>
      <c r="C100" s="18"/>
      <c r="D100" s="18"/>
      <c r="E100" s="18"/>
      <c r="F100" s="18"/>
      <c r="G100" s="13"/>
      <c r="H100" s="18"/>
      <c r="I100" s="18"/>
      <c r="J100" s="19"/>
      <c r="K100" s="18"/>
      <c r="L100" s="19"/>
      <c r="M100" s="18"/>
      <c r="N100" s="18"/>
      <c r="O100" s="20"/>
      <c r="P100" s="13"/>
      <c r="Q100" s="21"/>
      <c r="R100" s="21"/>
      <c r="S100" s="21"/>
      <c r="T100" s="13"/>
      <c r="U100" s="46"/>
      <c r="V100" s="23"/>
      <c r="W100" s="22" t="str">
        <f t="array" ref="W100">IF(A100="","",IFERROR(INDEX(PARAMETROS!$J$2:$J700,MATCH(H100,PARAMETROS!$E$2:$E700,0)),""))</f>
        <v/>
      </c>
      <c r="X100" s="23" t="str">
        <f t="shared" si="0"/>
        <v/>
      </c>
    </row>
    <row r="101" spans="1:24">
      <c r="A101" s="18"/>
      <c r="B101" s="18"/>
      <c r="C101" s="18"/>
      <c r="D101" s="18"/>
      <c r="E101" s="18"/>
      <c r="F101" s="18"/>
      <c r="G101" s="13"/>
      <c r="H101" s="18"/>
      <c r="I101" s="18"/>
      <c r="J101" s="19"/>
      <c r="K101" s="18"/>
      <c r="L101" s="19"/>
      <c r="M101" s="18"/>
      <c r="N101" s="18"/>
      <c r="O101" s="20"/>
      <c r="P101" s="13"/>
      <c r="Q101" s="21"/>
      <c r="R101" s="21"/>
      <c r="S101" s="21"/>
      <c r="T101" s="13"/>
      <c r="U101" s="46"/>
      <c r="V101" s="23"/>
      <c r="W101" s="22" t="str">
        <f t="array" ref="W101">IF(A101="","",IFERROR(INDEX(PARAMETROS!$J$2:$J700,MATCH(H101,PARAMETROS!$E$2:$E700,0)),""))</f>
        <v/>
      </c>
      <c r="X101" s="23" t="str">
        <f t="shared" si="0"/>
        <v/>
      </c>
    </row>
    <row r="102" spans="1:24">
      <c r="A102" s="18"/>
      <c r="B102" s="18"/>
      <c r="C102" s="18"/>
      <c r="D102" s="18"/>
      <c r="E102" s="18"/>
      <c r="F102" s="18"/>
      <c r="G102" s="13"/>
      <c r="H102" s="18"/>
      <c r="I102" s="18"/>
      <c r="J102" s="19"/>
      <c r="K102" s="18"/>
      <c r="L102" s="19"/>
      <c r="M102" s="18"/>
      <c r="N102" s="18"/>
      <c r="O102" s="20"/>
      <c r="P102" s="13"/>
      <c r="Q102" s="21"/>
      <c r="R102" s="21"/>
      <c r="S102" s="21"/>
      <c r="T102" s="13"/>
      <c r="U102" s="46"/>
      <c r="V102" s="23"/>
      <c r="W102" s="22" t="str">
        <f t="array" ref="W102">IF(A102="","",IFERROR(INDEX(PARAMETROS!$J$2:$J700,MATCH(H102,PARAMETROS!$E$2:$E700,0)),""))</f>
        <v/>
      </c>
      <c r="X102" s="23" t="str">
        <f t="shared" si="0"/>
        <v/>
      </c>
    </row>
    <row r="103" spans="1:24">
      <c r="A103" s="18"/>
      <c r="B103" s="18"/>
      <c r="C103" s="18"/>
      <c r="D103" s="18"/>
      <c r="E103" s="18"/>
      <c r="F103" s="18"/>
      <c r="G103" s="13"/>
      <c r="H103" s="18"/>
      <c r="I103" s="18"/>
      <c r="J103" s="19"/>
      <c r="K103" s="18"/>
      <c r="L103" s="19"/>
      <c r="M103" s="18"/>
      <c r="N103" s="18"/>
      <c r="O103" s="20"/>
      <c r="P103" s="13"/>
      <c r="Q103" s="21"/>
      <c r="R103" s="21"/>
      <c r="S103" s="21"/>
      <c r="T103" s="13"/>
      <c r="U103" s="46"/>
      <c r="V103" s="23"/>
      <c r="W103" s="22" t="str">
        <f t="array" ref="W103">IF(A103="","",IFERROR(INDEX(PARAMETROS!$J$2:$J700,MATCH(H103,PARAMETROS!$E$2:$E700,0)),""))</f>
        <v/>
      </c>
      <c r="X103" s="23" t="str">
        <f t="shared" si="0"/>
        <v/>
      </c>
    </row>
    <row r="104" spans="1:24">
      <c r="A104" s="18"/>
      <c r="B104" s="18"/>
      <c r="C104" s="18"/>
      <c r="D104" s="18"/>
      <c r="E104" s="18"/>
      <c r="F104" s="18"/>
      <c r="G104" s="13"/>
      <c r="H104" s="18"/>
      <c r="I104" s="18"/>
      <c r="J104" s="19"/>
      <c r="K104" s="18"/>
      <c r="L104" s="19"/>
      <c r="M104" s="18"/>
      <c r="N104" s="18"/>
      <c r="O104" s="20"/>
      <c r="P104" s="13"/>
      <c r="Q104" s="21"/>
      <c r="R104" s="21"/>
      <c r="S104" s="21"/>
      <c r="T104" s="13"/>
      <c r="U104" s="46"/>
      <c r="V104" s="23"/>
      <c r="W104" s="22" t="str">
        <f t="array" ref="W104">IF(A104="","",IFERROR(INDEX(PARAMETROS!$J$2:$J700,MATCH(H104,PARAMETROS!$E$2:$E700,0)),""))</f>
        <v/>
      </c>
      <c r="X104" s="23" t="str">
        <f t="shared" si="0"/>
        <v/>
      </c>
    </row>
    <row r="105" spans="1:24">
      <c r="A105" s="18"/>
      <c r="B105" s="18"/>
      <c r="C105" s="18"/>
      <c r="D105" s="18"/>
      <c r="E105" s="18"/>
      <c r="F105" s="18"/>
      <c r="G105" s="13"/>
      <c r="H105" s="18"/>
      <c r="I105" s="18"/>
      <c r="J105" s="19"/>
      <c r="K105" s="18"/>
      <c r="L105" s="19"/>
      <c r="M105" s="18"/>
      <c r="N105" s="18"/>
      <c r="O105" s="20"/>
      <c r="P105" s="13"/>
      <c r="Q105" s="21"/>
      <c r="R105" s="21"/>
      <c r="S105" s="21"/>
      <c r="T105" s="13"/>
      <c r="U105" s="46"/>
      <c r="V105" s="23"/>
      <c r="W105" s="22" t="str">
        <f t="array" ref="W105">IF(A105="","",IFERROR(INDEX(PARAMETROS!$J$2:$J700,MATCH(H105,PARAMETROS!$E$2:$E700,0)),""))</f>
        <v/>
      </c>
      <c r="X105" s="23" t="str">
        <f t="shared" si="0"/>
        <v/>
      </c>
    </row>
    <row r="106" spans="1:24">
      <c r="A106" s="18"/>
      <c r="B106" s="18"/>
      <c r="C106" s="18"/>
      <c r="D106" s="18"/>
      <c r="E106" s="18"/>
      <c r="F106" s="18"/>
      <c r="G106" s="13"/>
      <c r="H106" s="18"/>
      <c r="I106" s="18"/>
      <c r="J106" s="19"/>
      <c r="K106" s="18"/>
      <c r="L106" s="19"/>
      <c r="M106" s="18"/>
      <c r="N106" s="18"/>
      <c r="O106" s="20"/>
      <c r="P106" s="13"/>
      <c r="Q106" s="21"/>
      <c r="R106" s="21"/>
      <c r="S106" s="21"/>
      <c r="T106" s="13"/>
      <c r="U106" s="46"/>
      <c r="V106" s="23"/>
      <c r="W106" s="22" t="str">
        <f t="array" ref="W106">IF(A106="","",IFERROR(INDEX(PARAMETROS!$J$2:$J700,MATCH(H106,PARAMETROS!$E$2:$E700,0)),""))</f>
        <v/>
      </c>
      <c r="X106" s="23" t="str">
        <f t="shared" si="0"/>
        <v/>
      </c>
    </row>
    <row r="107" spans="1:24">
      <c r="A107" s="18"/>
      <c r="B107" s="18"/>
      <c r="C107" s="18"/>
      <c r="D107" s="18"/>
      <c r="E107" s="18"/>
      <c r="F107" s="18"/>
      <c r="G107" s="13"/>
      <c r="H107" s="18"/>
      <c r="I107" s="18"/>
      <c r="J107" s="19"/>
      <c r="K107" s="18"/>
      <c r="L107" s="19"/>
      <c r="M107" s="18"/>
      <c r="N107" s="18"/>
      <c r="O107" s="20"/>
      <c r="P107" s="13"/>
      <c r="Q107" s="21"/>
      <c r="R107" s="21"/>
      <c r="S107" s="21"/>
      <c r="T107" s="13"/>
      <c r="U107" s="46"/>
      <c r="V107" s="23"/>
      <c r="W107" s="22" t="str">
        <f t="array" ref="W107">IF(A107="","",IFERROR(INDEX(PARAMETROS!$J$2:$J700,MATCH(H107,PARAMETROS!$E$2:$E700,0)),""))</f>
        <v/>
      </c>
      <c r="X107" s="23" t="str">
        <f t="shared" si="0"/>
        <v/>
      </c>
    </row>
    <row r="108" spans="1:24">
      <c r="A108" s="18"/>
      <c r="B108" s="18"/>
      <c r="C108" s="18"/>
      <c r="D108" s="18"/>
      <c r="E108" s="18"/>
      <c r="F108" s="18"/>
      <c r="G108" s="13"/>
      <c r="H108" s="18"/>
      <c r="I108" s="18"/>
      <c r="J108" s="19"/>
      <c r="K108" s="18"/>
      <c r="L108" s="19"/>
      <c r="M108" s="18"/>
      <c r="N108" s="18"/>
      <c r="O108" s="20"/>
      <c r="P108" s="13"/>
      <c r="Q108" s="21"/>
      <c r="R108" s="21"/>
      <c r="S108" s="21"/>
      <c r="T108" s="13"/>
      <c r="U108" s="46"/>
      <c r="V108" s="23"/>
      <c r="W108" s="22" t="str">
        <f t="array" ref="W108">IF(A108="","",IFERROR(INDEX(PARAMETROS!$J$2:$J700,MATCH(H108,PARAMETROS!$E$2:$E700,0)),""))</f>
        <v/>
      </c>
      <c r="X108" s="23" t="str">
        <f t="shared" si="0"/>
        <v/>
      </c>
    </row>
    <row r="109" spans="1:24">
      <c r="A109" s="18"/>
      <c r="B109" s="18"/>
      <c r="C109" s="18"/>
      <c r="D109" s="18"/>
      <c r="E109" s="18"/>
      <c r="F109" s="18"/>
      <c r="G109" s="13"/>
      <c r="H109" s="18"/>
      <c r="I109" s="18"/>
      <c r="J109" s="19"/>
      <c r="K109" s="18"/>
      <c r="L109" s="19"/>
      <c r="M109" s="18"/>
      <c r="N109" s="18"/>
      <c r="O109" s="20"/>
      <c r="P109" s="13"/>
      <c r="Q109" s="21"/>
      <c r="R109" s="21"/>
      <c r="S109" s="21"/>
      <c r="T109" s="13"/>
      <c r="U109" s="46"/>
      <c r="V109" s="23"/>
      <c r="W109" s="22" t="str">
        <f t="array" ref="W109">IF(A109="","",IFERROR(INDEX(PARAMETROS!$J$2:$J700,MATCH(H109,PARAMETROS!$E$2:$E700,0)),""))</f>
        <v/>
      </c>
      <c r="X109" s="23" t="str">
        <f t="shared" si="0"/>
        <v/>
      </c>
    </row>
    <row r="110" spans="1:24">
      <c r="A110" s="18"/>
      <c r="B110" s="18"/>
      <c r="C110" s="18"/>
      <c r="D110" s="18"/>
      <c r="E110" s="18"/>
      <c r="F110" s="18"/>
      <c r="G110" s="13"/>
      <c r="H110" s="18"/>
      <c r="I110" s="18"/>
      <c r="J110" s="19"/>
      <c r="K110" s="18"/>
      <c r="L110" s="19"/>
      <c r="M110" s="18"/>
      <c r="N110" s="18"/>
      <c r="O110" s="20"/>
      <c r="P110" s="13"/>
      <c r="Q110" s="21"/>
      <c r="R110" s="21"/>
      <c r="S110" s="21"/>
      <c r="T110" s="13"/>
      <c r="U110" s="46"/>
      <c r="V110" s="23"/>
      <c r="W110" s="22" t="str">
        <f t="array" ref="W110">IF(A110="","",IFERROR(INDEX(PARAMETROS!$J$2:$J700,MATCH(H110,PARAMETROS!$E$2:$E700,0)),""))</f>
        <v/>
      </c>
      <c r="X110" s="23" t="str">
        <f t="shared" si="0"/>
        <v/>
      </c>
    </row>
    <row r="111" spans="1:24">
      <c r="A111" s="18"/>
      <c r="B111" s="18"/>
      <c r="C111" s="18"/>
      <c r="D111" s="18"/>
      <c r="E111" s="18"/>
      <c r="F111" s="18"/>
      <c r="G111" s="13"/>
      <c r="H111" s="18"/>
      <c r="I111" s="18"/>
      <c r="J111" s="19"/>
      <c r="K111" s="18"/>
      <c r="L111" s="19"/>
      <c r="M111" s="18"/>
      <c r="N111" s="18"/>
      <c r="O111" s="20"/>
      <c r="P111" s="13"/>
      <c r="Q111" s="21"/>
      <c r="R111" s="21"/>
      <c r="S111" s="21"/>
      <c r="T111" s="13"/>
      <c r="U111" s="46"/>
      <c r="V111" s="23"/>
      <c r="W111" s="22" t="str">
        <f t="array" ref="W111">IF(A111="","",IFERROR(INDEX(PARAMETROS!$J$2:$J700,MATCH(H111,PARAMETROS!$E$2:$E700,0)),""))</f>
        <v/>
      </c>
      <c r="X111" s="23" t="str">
        <f t="shared" si="0"/>
        <v/>
      </c>
    </row>
    <row r="112" spans="1:24">
      <c r="A112" s="18"/>
      <c r="B112" s="18"/>
      <c r="C112" s="18"/>
      <c r="D112" s="18"/>
      <c r="E112" s="18"/>
      <c r="F112" s="18"/>
      <c r="G112" s="13"/>
      <c r="H112" s="18"/>
      <c r="I112" s="18"/>
      <c r="J112" s="19"/>
      <c r="K112" s="18"/>
      <c r="L112" s="19"/>
      <c r="M112" s="18"/>
      <c r="N112" s="18"/>
      <c r="O112" s="20"/>
      <c r="P112" s="13"/>
      <c r="Q112" s="21"/>
      <c r="R112" s="21"/>
      <c r="S112" s="21"/>
      <c r="T112" s="13"/>
      <c r="U112" s="46"/>
      <c r="V112" s="23"/>
      <c r="W112" s="22" t="str">
        <f t="array" ref="W112">IF(A112="","",IFERROR(INDEX(PARAMETROS!$J$2:$J700,MATCH(H112,PARAMETROS!$E$2:$E700,0)),""))</f>
        <v/>
      </c>
      <c r="X112" s="23" t="str">
        <f t="shared" si="0"/>
        <v/>
      </c>
    </row>
    <row r="113" spans="1:24">
      <c r="A113" s="18"/>
      <c r="B113" s="18"/>
      <c r="C113" s="18"/>
      <c r="D113" s="18"/>
      <c r="E113" s="18"/>
      <c r="F113" s="18"/>
      <c r="G113" s="13"/>
      <c r="H113" s="18"/>
      <c r="I113" s="18"/>
      <c r="J113" s="19"/>
      <c r="K113" s="18"/>
      <c r="L113" s="19"/>
      <c r="M113" s="18"/>
      <c r="N113" s="18"/>
      <c r="O113" s="20"/>
      <c r="P113" s="13"/>
      <c r="Q113" s="21"/>
      <c r="R113" s="21"/>
      <c r="S113" s="21"/>
      <c r="T113" s="13"/>
      <c r="U113" s="46"/>
      <c r="V113" s="23"/>
      <c r="W113" s="22" t="str">
        <f t="array" ref="W113">IF(A113="","",IFERROR(INDEX(PARAMETROS!$J$2:$J700,MATCH(H113,PARAMETROS!$E$2:$E700,0)),""))</f>
        <v/>
      </c>
      <c r="X113" s="23" t="str">
        <f t="shared" si="0"/>
        <v/>
      </c>
    </row>
    <row r="114" spans="1:24">
      <c r="A114" s="18"/>
      <c r="B114" s="18"/>
      <c r="C114" s="18"/>
      <c r="D114" s="18"/>
      <c r="E114" s="18"/>
      <c r="F114" s="18"/>
      <c r="G114" s="13"/>
      <c r="H114" s="18"/>
      <c r="I114" s="18"/>
      <c r="J114" s="19"/>
      <c r="K114" s="18"/>
      <c r="L114" s="19"/>
      <c r="M114" s="18"/>
      <c r="N114" s="18"/>
      <c r="O114" s="20"/>
      <c r="P114" s="13"/>
      <c r="Q114" s="21"/>
      <c r="R114" s="21"/>
      <c r="S114" s="21"/>
      <c r="T114" s="13"/>
      <c r="U114" s="46"/>
      <c r="V114" s="23"/>
      <c r="W114" s="22" t="str">
        <f t="array" ref="W114">IF(A114="","",IFERROR(INDEX(PARAMETROS!$J$2:$J700,MATCH(H114,PARAMETROS!$E$2:$E700,0)),""))</f>
        <v/>
      </c>
      <c r="X114" s="23" t="str">
        <f t="shared" si="0"/>
        <v/>
      </c>
    </row>
    <row r="115" spans="1:24">
      <c r="A115" s="18"/>
      <c r="B115" s="18"/>
      <c r="C115" s="18"/>
      <c r="D115" s="18"/>
      <c r="E115" s="18"/>
      <c r="F115" s="18"/>
      <c r="G115" s="13"/>
      <c r="H115" s="18"/>
      <c r="I115" s="18"/>
      <c r="J115" s="19"/>
      <c r="K115" s="18"/>
      <c r="L115" s="19"/>
      <c r="M115" s="18"/>
      <c r="N115" s="18"/>
      <c r="O115" s="20"/>
      <c r="P115" s="13"/>
      <c r="Q115" s="21"/>
      <c r="R115" s="21"/>
      <c r="S115" s="21"/>
      <c r="T115" s="13"/>
      <c r="U115" s="46"/>
      <c r="V115" s="23"/>
      <c r="W115" s="22" t="str">
        <f t="array" ref="W115">IF(A115="","",IFERROR(INDEX(PARAMETROS!$J$2:$J700,MATCH(H115,PARAMETROS!$E$2:$E700,0)),""))</f>
        <v/>
      </c>
      <c r="X115" s="23" t="str">
        <f t="shared" si="0"/>
        <v/>
      </c>
    </row>
    <row r="116" spans="1:24">
      <c r="A116" s="18"/>
      <c r="B116" s="18"/>
      <c r="C116" s="18"/>
      <c r="D116" s="18"/>
      <c r="E116" s="18"/>
      <c r="F116" s="18"/>
      <c r="G116" s="13"/>
      <c r="H116" s="18"/>
      <c r="I116" s="18"/>
      <c r="J116" s="19"/>
      <c r="K116" s="18"/>
      <c r="L116" s="19"/>
      <c r="M116" s="18"/>
      <c r="N116" s="18"/>
      <c r="O116" s="20"/>
      <c r="P116" s="13"/>
      <c r="Q116" s="21"/>
      <c r="R116" s="21"/>
      <c r="S116" s="21"/>
      <c r="T116" s="13"/>
      <c r="U116" s="46"/>
      <c r="V116" s="23"/>
      <c r="W116" s="22" t="str">
        <f t="array" ref="W116">IF(A116="","",IFERROR(INDEX(PARAMETROS!$J$2:$J700,MATCH(H116,PARAMETROS!$E$2:$E700,0)),""))</f>
        <v/>
      </c>
      <c r="X116" s="23" t="str">
        <f t="shared" si="0"/>
        <v/>
      </c>
    </row>
    <row r="117" spans="1:24">
      <c r="A117" s="18"/>
      <c r="B117" s="18"/>
      <c r="C117" s="18"/>
      <c r="D117" s="18"/>
      <c r="E117" s="18"/>
      <c r="F117" s="18"/>
      <c r="G117" s="13"/>
      <c r="H117" s="18"/>
      <c r="I117" s="18"/>
      <c r="J117" s="19"/>
      <c r="K117" s="18"/>
      <c r="L117" s="19"/>
      <c r="M117" s="18"/>
      <c r="N117" s="18"/>
      <c r="O117" s="20"/>
      <c r="P117" s="13"/>
      <c r="Q117" s="21"/>
      <c r="R117" s="21"/>
      <c r="S117" s="21"/>
      <c r="T117" s="13"/>
      <c r="U117" s="46"/>
      <c r="V117" s="23"/>
      <c r="W117" s="22" t="str">
        <f t="array" ref="W117">IF(A117="","",IFERROR(INDEX(PARAMETROS!$J$2:$J700,MATCH(H117,PARAMETROS!$E$2:$E700,0)),""))</f>
        <v/>
      </c>
      <c r="X117" s="23" t="str">
        <f t="shared" si="0"/>
        <v/>
      </c>
    </row>
    <row r="118" spans="1:24">
      <c r="A118" s="18"/>
      <c r="B118" s="18"/>
      <c r="C118" s="18"/>
      <c r="D118" s="18"/>
      <c r="E118" s="18"/>
      <c r="F118" s="18"/>
      <c r="G118" s="13"/>
      <c r="H118" s="18"/>
      <c r="I118" s="18"/>
      <c r="J118" s="19"/>
      <c r="K118" s="18"/>
      <c r="L118" s="19"/>
      <c r="M118" s="18"/>
      <c r="N118" s="18"/>
      <c r="O118" s="20"/>
      <c r="P118" s="13"/>
      <c r="Q118" s="21"/>
      <c r="R118" s="21"/>
      <c r="S118" s="21"/>
      <c r="T118" s="13"/>
      <c r="U118" s="46"/>
      <c r="V118" s="23"/>
      <c r="W118" s="22" t="str">
        <f t="array" ref="W118">IF(A118="","",IFERROR(INDEX(PARAMETROS!$J$2:$J700,MATCH(H118,PARAMETROS!$E$2:$E700,0)),""))</f>
        <v/>
      </c>
      <c r="X118" s="23" t="str">
        <f t="shared" si="0"/>
        <v/>
      </c>
    </row>
    <row r="119" spans="1:24">
      <c r="A119" s="18"/>
      <c r="B119" s="18"/>
      <c r="C119" s="18"/>
      <c r="D119" s="18"/>
      <c r="E119" s="18"/>
      <c r="F119" s="18"/>
      <c r="G119" s="13"/>
      <c r="H119" s="18"/>
      <c r="I119" s="18"/>
      <c r="J119" s="19"/>
      <c r="K119" s="18"/>
      <c r="L119" s="19"/>
      <c r="M119" s="18"/>
      <c r="N119" s="18"/>
      <c r="O119" s="20"/>
      <c r="P119" s="13"/>
      <c r="Q119" s="21"/>
      <c r="R119" s="21"/>
      <c r="S119" s="21"/>
      <c r="T119" s="13"/>
      <c r="U119" s="46"/>
      <c r="V119" s="23"/>
      <c r="W119" s="22" t="str">
        <f t="array" ref="W119">IF(A119="","",IFERROR(INDEX(PARAMETROS!$J$2:$J700,MATCH(H119,PARAMETROS!$E$2:$E700,0)),""))</f>
        <v/>
      </c>
      <c r="X119" s="23" t="str">
        <f t="shared" si="0"/>
        <v/>
      </c>
    </row>
    <row r="120" spans="1:24">
      <c r="A120" s="18"/>
      <c r="B120" s="18"/>
      <c r="C120" s="18"/>
      <c r="D120" s="18"/>
      <c r="E120" s="18"/>
      <c r="F120" s="18"/>
      <c r="G120" s="13"/>
      <c r="H120" s="18"/>
      <c r="I120" s="18"/>
      <c r="J120" s="19"/>
      <c r="K120" s="18"/>
      <c r="L120" s="19"/>
      <c r="M120" s="18"/>
      <c r="N120" s="18"/>
      <c r="O120" s="20"/>
      <c r="P120" s="13"/>
      <c r="Q120" s="21"/>
      <c r="R120" s="21"/>
      <c r="S120" s="21"/>
      <c r="T120" s="13"/>
      <c r="U120" s="46"/>
      <c r="V120" s="23"/>
      <c r="W120" s="22" t="str">
        <f t="array" ref="W120">IF(A120="","",IFERROR(INDEX(PARAMETROS!$J$2:$J700,MATCH(H120,PARAMETROS!$E$2:$E700,0)),""))</f>
        <v/>
      </c>
      <c r="X120" s="23" t="str">
        <f t="shared" si="0"/>
        <v/>
      </c>
    </row>
    <row r="121" spans="1:24">
      <c r="A121" s="18"/>
      <c r="B121" s="18"/>
      <c r="C121" s="18"/>
      <c r="D121" s="18"/>
      <c r="E121" s="18"/>
      <c r="F121" s="18"/>
      <c r="G121" s="13"/>
      <c r="H121" s="18"/>
      <c r="I121" s="18"/>
      <c r="J121" s="19"/>
      <c r="K121" s="18"/>
      <c r="L121" s="19"/>
      <c r="M121" s="18"/>
      <c r="N121" s="18"/>
      <c r="O121" s="20"/>
      <c r="P121" s="13"/>
      <c r="Q121" s="21"/>
      <c r="R121" s="21"/>
      <c r="S121" s="21"/>
      <c r="T121" s="13"/>
      <c r="U121" s="46"/>
      <c r="V121" s="23"/>
      <c r="W121" s="22" t="str">
        <f t="array" ref="W121">IF(A121="","",IFERROR(INDEX(PARAMETROS!$J$2:$J700,MATCH(H121,PARAMETROS!$E$2:$E700,0)),""))</f>
        <v/>
      </c>
      <c r="X121" s="23" t="str">
        <f t="shared" si="0"/>
        <v/>
      </c>
    </row>
    <row r="122" spans="1:24">
      <c r="A122" s="18"/>
      <c r="B122" s="18"/>
      <c r="C122" s="18"/>
      <c r="D122" s="18"/>
      <c r="E122" s="18"/>
      <c r="F122" s="18"/>
      <c r="G122" s="13"/>
      <c r="H122" s="18"/>
      <c r="I122" s="18"/>
      <c r="J122" s="19"/>
      <c r="K122" s="18"/>
      <c r="L122" s="19"/>
      <c r="M122" s="18"/>
      <c r="N122" s="18"/>
      <c r="O122" s="20"/>
      <c r="P122" s="13"/>
      <c r="Q122" s="21"/>
      <c r="R122" s="21"/>
      <c r="S122" s="21"/>
      <c r="T122" s="13"/>
      <c r="U122" s="46"/>
      <c r="V122" s="23"/>
      <c r="W122" s="22" t="str">
        <f t="array" ref="W122">IF(A122="","",IFERROR(INDEX(PARAMETROS!$J$2:$J700,MATCH(H122,PARAMETROS!$E$2:$E700,0)),""))</f>
        <v/>
      </c>
      <c r="X122" s="23" t="str">
        <f t="shared" si="0"/>
        <v/>
      </c>
    </row>
    <row r="123" spans="1:24">
      <c r="A123" s="18"/>
      <c r="B123" s="18"/>
      <c r="C123" s="18"/>
      <c r="D123" s="18"/>
      <c r="E123" s="18"/>
      <c r="F123" s="18"/>
      <c r="G123" s="13"/>
      <c r="H123" s="18"/>
      <c r="I123" s="18"/>
      <c r="J123" s="19"/>
      <c r="K123" s="18"/>
      <c r="L123" s="19"/>
      <c r="M123" s="18"/>
      <c r="N123" s="18"/>
      <c r="O123" s="20"/>
      <c r="P123" s="13"/>
      <c r="Q123" s="21"/>
      <c r="R123" s="21"/>
      <c r="S123" s="21"/>
      <c r="T123" s="13"/>
      <c r="U123" s="46"/>
      <c r="V123" s="23"/>
      <c r="W123" s="22" t="str">
        <f t="array" ref="W123">IF(A123="","",IFERROR(INDEX(PARAMETROS!$J$2:$J700,MATCH(H123,PARAMETROS!$E$2:$E700,0)),""))</f>
        <v/>
      </c>
      <c r="X123" s="23" t="str">
        <f t="shared" si="0"/>
        <v/>
      </c>
    </row>
    <row r="124" spans="1:24">
      <c r="A124" s="18"/>
      <c r="B124" s="18"/>
      <c r="C124" s="18"/>
      <c r="D124" s="18"/>
      <c r="E124" s="18"/>
      <c r="F124" s="18"/>
      <c r="G124" s="13"/>
      <c r="H124" s="18"/>
      <c r="I124" s="18"/>
      <c r="J124" s="19"/>
      <c r="K124" s="18"/>
      <c r="L124" s="19"/>
      <c r="M124" s="18"/>
      <c r="N124" s="18"/>
      <c r="O124" s="20"/>
      <c r="P124" s="13"/>
      <c r="Q124" s="21"/>
      <c r="R124" s="21"/>
      <c r="S124" s="21"/>
      <c r="T124" s="13"/>
      <c r="U124" s="46"/>
      <c r="V124" s="23"/>
      <c r="W124" s="22" t="str">
        <f t="array" ref="W124">IF(A124="","",IFERROR(INDEX(PARAMETROS!$J$2:$J700,MATCH(H124,PARAMETROS!$E$2:$E700,0)),""))</f>
        <v/>
      </c>
      <c r="X124" s="23" t="str">
        <f t="shared" si="0"/>
        <v/>
      </c>
    </row>
    <row r="125" spans="1:24">
      <c r="A125" s="18"/>
      <c r="B125" s="18"/>
      <c r="C125" s="18"/>
      <c r="D125" s="18"/>
      <c r="E125" s="18"/>
      <c r="F125" s="18"/>
      <c r="G125" s="13"/>
      <c r="H125" s="18"/>
      <c r="I125" s="18"/>
      <c r="J125" s="19"/>
      <c r="K125" s="18"/>
      <c r="L125" s="19"/>
      <c r="M125" s="18"/>
      <c r="N125" s="18"/>
      <c r="O125" s="20"/>
      <c r="P125" s="13"/>
      <c r="Q125" s="21"/>
      <c r="R125" s="21"/>
      <c r="S125" s="21"/>
      <c r="T125" s="13"/>
      <c r="U125" s="46"/>
      <c r="V125" s="23"/>
      <c r="W125" s="22" t="str">
        <f t="array" ref="W125">IF(A125="","",IFERROR(INDEX(PARAMETROS!$J$2:$J700,MATCH(H125,PARAMETROS!$E$2:$E700,0)),""))</f>
        <v/>
      </c>
      <c r="X125" s="23" t="str">
        <f t="shared" si="0"/>
        <v/>
      </c>
    </row>
    <row r="126" spans="1:24">
      <c r="A126" s="18"/>
      <c r="B126" s="18"/>
      <c r="C126" s="18"/>
      <c r="D126" s="18"/>
      <c r="E126" s="18"/>
      <c r="F126" s="18"/>
      <c r="G126" s="13"/>
      <c r="H126" s="18"/>
      <c r="I126" s="18"/>
      <c r="J126" s="19"/>
      <c r="K126" s="18"/>
      <c r="L126" s="19"/>
      <c r="M126" s="18"/>
      <c r="N126" s="18"/>
      <c r="O126" s="20"/>
      <c r="P126" s="13"/>
      <c r="Q126" s="21"/>
      <c r="R126" s="21"/>
      <c r="S126" s="21"/>
      <c r="T126" s="13"/>
      <c r="U126" s="46"/>
      <c r="V126" s="23"/>
      <c r="W126" s="22" t="str">
        <f t="array" ref="W126">IF(A126="","",IFERROR(INDEX(PARAMETROS!$J$2:$J700,MATCH(H126,PARAMETROS!$E$2:$E700,0)),""))</f>
        <v/>
      </c>
      <c r="X126" s="23" t="str">
        <f t="shared" si="0"/>
        <v/>
      </c>
    </row>
    <row r="127" spans="1:24">
      <c r="A127" s="18"/>
      <c r="B127" s="18"/>
      <c r="C127" s="18"/>
      <c r="D127" s="18"/>
      <c r="E127" s="18"/>
      <c r="F127" s="18"/>
      <c r="G127" s="13"/>
      <c r="H127" s="18"/>
      <c r="I127" s="18"/>
      <c r="J127" s="19"/>
      <c r="K127" s="18"/>
      <c r="L127" s="19"/>
      <c r="M127" s="18"/>
      <c r="N127" s="18"/>
      <c r="O127" s="20"/>
      <c r="P127" s="13"/>
      <c r="Q127" s="21"/>
      <c r="R127" s="21"/>
      <c r="S127" s="21"/>
      <c r="T127" s="13"/>
      <c r="U127" s="46"/>
      <c r="V127" s="23"/>
      <c r="W127" s="22" t="str">
        <f t="array" ref="W127">IF(A127="","",IFERROR(INDEX(PARAMETROS!$J$2:$J700,MATCH(H127,PARAMETROS!$E$2:$E700,0)),""))</f>
        <v/>
      </c>
      <c r="X127" s="23" t="str">
        <f t="shared" si="0"/>
        <v/>
      </c>
    </row>
    <row r="128" spans="1:24">
      <c r="A128" s="18"/>
      <c r="B128" s="18"/>
      <c r="C128" s="18"/>
      <c r="D128" s="18"/>
      <c r="E128" s="18"/>
      <c r="F128" s="18"/>
      <c r="G128" s="13"/>
      <c r="H128" s="18"/>
      <c r="I128" s="18"/>
      <c r="J128" s="19"/>
      <c r="K128" s="18"/>
      <c r="L128" s="19"/>
      <c r="M128" s="18"/>
      <c r="N128" s="18"/>
      <c r="O128" s="20"/>
      <c r="P128" s="13"/>
      <c r="Q128" s="21"/>
      <c r="R128" s="21"/>
      <c r="S128" s="21"/>
      <c r="T128" s="13"/>
      <c r="U128" s="46"/>
      <c r="V128" s="23"/>
      <c r="W128" s="22" t="str">
        <f t="array" ref="W128">IF(A128="","",IFERROR(INDEX(PARAMETROS!$J$2:$J700,MATCH(H128,PARAMETROS!$E$2:$E700,0)),""))</f>
        <v/>
      </c>
      <c r="X128" s="23" t="str">
        <f t="shared" si="0"/>
        <v/>
      </c>
    </row>
    <row r="129" spans="1:24">
      <c r="A129" s="18"/>
      <c r="B129" s="18"/>
      <c r="C129" s="18"/>
      <c r="D129" s="18"/>
      <c r="E129" s="18"/>
      <c r="F129" s="18"/>
      <c r="G129" s="13"/>
      <c r="H129" s="18"/>
      <c r="I129" s="18"/>
      <c r="J129" s="19"/>
      <c r="K129" s="18"/>
      <c r="L129" s="19"/>
      <c r="M129" s="18"/>
      <c r="N129" s="18"/>
      <c r="O129" s="20"/>
      <c r="P129" s="13"/>
      <c r="Q129" s="21"/>
      <c r="R129" s="21"/>
      <c r="S129" s="21"/>
      <c r="T129" s="13"/>
      <c r="U129" s="46"/>
      <c r="V129" s="23"/>
      <c r="W129" s="22" t="str">
        <f t="array" ref="W129">IF(A129="","",IFERROR(INDEX(PARAMETROS!$J$2:$J700,MATCH(H129,PARAMETROS!$E$2:$E700,0)),""))</f>
        <v/>
      </c>
      <c r="X129" s="23" t="str">
        <f t="shared" si="0"/>
        <v/>
      </c>
    </row>
    <row r="130" spans="1:24">
      <c r="A130" s="18"/>
      <c r="B130" s="18"/>
      <c r="C130" s="18"/>
      <c r="D130" s="18"/>
      <c r="E130" s="18"/>
      <c r="F130" s="18"/>
      <c r="G130" s="13"/>
      <c r="H130" s="18"/>
      <c r="I130" s="18"/>
      <c r="J130" s="19"/>
      <c r="K130" s="18"/>
      <c r="L130" s="19"/>
      <c r="M130" s="18"/>
      <c r="N130" s="18"/>
      <c r="O130" s="20"/>
      <c r="P130" s="13"/>
      <c r="Q130" s="21"/>
      <c r="R130" s="21"/>
      <c r="S130" s="21"/>
      <c r="T130" s="13"/>
      <c r="U130" s="46"/>
      <c r="V130" s="23"/>
      <c r="W130" s="22" t="str">
        <f t="array" ref="W130">IF(A130="","",IFERROR(INDEX(PARAMETROS!$J$2:$J700,MATCH(H130,PARAMETROS!$E$2:$E700,0)),""))</f>
        <v/>
      </c>
      <c r="X130" s="23" t="str">
        <f t="shared" si="0"/>
        <v/>
      </c>
    </row>
    <row r="131" spans="1:24">
      <c r="A131" s="18"/>
      <c r="B131" s="18"/>
      <c r="C131" s="18"/>
      <c r="D131" s="18"/>
      <c r="E131" s="18"/>
      <c r="F131" s="18"/>
      <c r="G131" s="13"/>
      <c r="H131" s="18"/>
      <c r="I131" s="18"/>
      <c r="J131" s="19"/>
      <c r="K131" s="18"/>
      <c r="L131" s="19"/>
      <c r="M131" s="18"/>
      <c r="N131" s="18"/>
      <c r="O131" s="20"/>
      <c r="P131" s="13"/>
      <c r="Q131" s="21"/>
      <c r="R131" s="21"/>
      <c r="S131" s="21"/>
      <c r="T131" s="13"/>
      <c r="U131" s="46"/>
      <c r="V131" s="23"/>
      <c r="W131" s="22" t="str">
        <f t="array" ref="W131">IF(A131="","",IFERROR(INDEX(PARAMETROS!$J$2:$J700,MATCH(H131,PARAMETROS!$E$2:$E700,0)),""))</f>
        <v/>
      </c>
      <c r="X131" s="23" t="str">
        <f t="shared" si="0"/>
        <v/>
      </c>
    </row>
    <row r="132" spans="1:24">
      <c r="A132" s="18"/>
      <c r="B132" s="18"/>
      <c r="C132" s="18"/>
      <c r="D132" s="18"/>
      <c r="E132" s="18"/>
      <c r="F132" s="18"/>
      <c r="G132" s="13"/>
      <c r="H132" s="18"/>
      <c r="I132" s="18"/>
      <c r="J132" s="19"/>
      <c r="K132" s="18"/>
      <c r="L132" s="19"/>
      <c r="M132" s="18"/>
      <c r="N132" s="18"/>
      <c r="O132" s="20"/>
      <c r="P132" s="13"/>
      <c r="Q132" s="21"/>
      <c r="R132" s="21"/>
      <c r="S132" s="21"/>
      <c r="T132" s="13"/>
      <c r="U132" s="46"/>
      <c r="V132" s="23"/>
      <c r="W132" s="22" t="str">
        <f t="array" ref="W132">IF(A132="","",IFERROR(INDEX(PARAMETROS!$J$2:$J700,MATCH(H132,PARAMETROS!$E$2:$E700,0)),""))</f>
        <v/>
      </c>
      <c r="X132" s="23" t="str">
        <f t="shared" si="0"/>
        <v/>
      </c>
    </row>
    <row r="133" spans="1:24">
      <c r="A133" s="18"/>
      <c r="B133" s="18"/>
      <c r="C133" s="18"/>
      <c r="D133" s="18"/>
      <c r="E133" s="18"/>
      <c r="F133" s="18"/>
      <c r="G133" s="13"/>
      <c r="H133" s="18"/>
      <c r="I133" s="18"/>
      <c r="J133" s="19"/>
      <c r="K133" s="18"/>
      <c r="L133" s="19"/>
      <c r="M133" s="18"/>
      <c r="N133" s="18"/>
      <c r="O133" s="20"/>
      <c r="P133" s="13"/>
      <c r="Q133" s="21"/>
      <c r="R133" s="21"/>
      <c r="S133" s="21"/>
      <c r="T133" s="13"/>
      <c r="U133" s="46"/>
      <c r="V133" s="23"/>
      <c r="W133" s="22" t="str">
        <f t="array" ref="W133">IF(A133="","",IFERROR(INDEX(PARAMETROS!$J$2:$J700,MATCH(H133,PARAMETROS!$E$2:$E700,0)),""))</f>
        <v/>
      </c>
      <c r="X133" s="23" t="str">
        <f t="shared" si="0"/>
        <v/>
      </c>
    </row>
    <row r="134" spans="1:24">
      <c r="A134" s="18"/>
      <c r="B134" s="18"/>
      <c r="C134" s="18"/>
      <c r="D134" s="18"/>
      <c r="E134" s="18"/>
      <c r="F134" s="18"/>
      <c r="G134" s="13"/>
      <c r="H134" s="18"/>
      <c r="I134" s="18"/>
      <c r="J134" s="19"/>
      <c r="K134" s="18"/>
      <c r="L134" s="19"/>
      <c r="M134" s="18"/>
      <c r="N134" s="18"/>
      <c r="O134" s="20"/>
      <c r="P134" s="13"/>
      <c r="Q134" s="21"/>
      <c r="R134" s="21"/>
      <c r="S134" s="21"/>
      <c r="T134" s="13"/>
      <c r="U134" s="46"/>
      <c r="V134" s="23"/>
      <c r="W134" s="22" t="str">
        <f t="array" ref="W134">IF(A134="","",IFERROR(INDEX(PARAMETROS!$J$2:$J700,MATCH(H134,PARAMETROS!$E$2:$E700,0)),""))</f>
        <v/>
      </c>
      <c r="X134" s="23" t="str">
        <f t="shared" si="0"/>
        <v/>
      </c>
    </row>
    <row r="135" spans="1:24">
      <c r="A135" s="18"/>
      <c r="B135" s="18"/>
      <c r="C135" s="18"/>
      <c r="D135" s="18"/>
      <c r="E135" s="18"/>
      <c r="F135" s="18"/>
      <c r="G135" s="13"/>
      <c r="H135" s="18"/>
      <c r="I135" s="18"/>
      <c r="J135" s="19"/>
      <c r="K135" s="18"/>
      <c r="L135" s="19"/>
      <c r="M135" s="18"/>
      <c r="N135" s="18"/>
      <c r="O135" s="20"/>
      <c r="P135" s="13"/>
      <c r="Q135" s="21"/>
      <c r="R135" s="21"/>
      <c r="S135" s="21"/>
      <c r="T135" s="13"/>
      <c r="U135" s="46"/>
      <c r="V135" s="23"/>
      <c r="W135" s="22" t="str">
        <f t="array" ref="W135">IF(A135="","",IFERROR(INDEX(PARAMETROS!$J$2:$J700,MATCH(H135,PARAMETROS!$E$2:$E700,0)),""))</f>
        <v/>
      </c>
      <c r="X135" s="23" t="str">
        <f t="shared" si="0"/>
        <v/>
      </c>
    </row>
    <row r="136" spans="1:24">
      <c r="A136" s="18"/>
      <c r="B136" s="18"/>
      <c r="C136" s="18"/>
      <c r="D136" s="18"/>
      <c r="E136" s="18"/>
      <c r="F136" s="18"/>
      <c r="G136" s="13"/>
      <c r="H136" s="18"/>
      <c r="I136" s="18"/>
      <c r="J136" s="19"/>
      <c r="K136" s="18"/>
      <c r="L136" s="19"/>
      <c r="M136" s="18"/>
      <c r="N136" s="18"/>
      <c r="O136" s="20"/>
      <c r="P136" s="13"/>
      <c r="Q136" s="21"/>
      <c r="R136" s="21"/>
      <c r="S136" s="21"/>
      <c r="T136" s="13"/>
      <c r="U136" s="46"/>
      <c r="V136" s="23"/>
      <c r="W136" s="22" t="str">
        <f t="array" ref="W136">IF(A136="","",IFERROR(INDEX(PARAMETROS!$J$2:$J700,MATCH(H136,PARAMETROS!$E$2:$E700,0)),""))</f>
        <v/>
      </c>
      <c r="X136" s="23" t="str">
        <f t="shared" si="0"/>
        <v/>
      </c>
    </row>
    <row r="137" spans="1:24">
      <c r="A137" s="18"/>
      <c r="B137" s="18"/>
      <c r="C137" s="18"/>
      <c r="D137" s="18"/>
      <c r="E137" s="18"/>
      <c r="F137" s="18"/>
      <c r="G137" s="13"/>
      <c r="H137" s="18"/>
      <c r="I137" s="18"/>
      <c r="J137" s="19"/>
      <c r="K137" s="18"/>
      <c r="L137" s="19"/>
      <c r="M137" s="18"/>
      <c r="N137" s="18"/>
      <c r="O137" s="20"/>
      <c r="P137" s="13"/>
      <c r="Q137" s="21"/>
      <c r="R137" s="21"/>
      <c r="S137" s="21"/>
      <c r="T137" s="13"/>
      <c r="U137" s="46"/>
      <c r="V137" s="23"/>
      <c r="W137" s="22" t="str">
        <f t="array" ref="W137">IF(A137="","",IFERROR(INDEX(PARAMETROS!$J$2:$J700,MATCH(H137,PARAMETROS!$E$2:$E700,0)),""))</f>
        <v/>
      </c>
      <c r="X137" s="23" t="str">
        <f t="shared" si="0"/>
        <v/>
      </c>
    </row>
    <row r="138" spans="1:24">
      <c r="A138" s="18"/>
      <c r="B138" s="18"/>
      <c r="C138" s="18"/>
      <c r="D138" s="18"/>
      <c r="E138" s="18"/>
      <c r="F138" s="18"/>
      <c r="G138" s="13"/>
      <c r="H138" s="18"/>
      <c r="I138" s="18"/>
      <c r="J138" s="19"/>
      <c r="K138" s="18"/>
      <c r="L138" s="19"/>
      <c r="M138" s="18"/>
      <c r="N138" s="18"/>
      <c r="O138" s="20"/>
      <c r="P138" s="13"/>
      <c r="Q138" s="21"/>
      <c r="R138" s="21"/>
      <c r="S138" s="21"/>
      <c r="T138" s="13"/>
      <c r="U138" s="46"/>
      <c r="V138" s="23"/>
      <c r="W138" s="22" t="str">
        <f t="array" ref="W138">IF(A138="","",IFERROR(INDEX(PARAMETROS!$J$2:$J700,MATCH(H138,PARAMETROS!$E$2:$E700,0)),""))</f>
        <v/>
      </c>
      <c r="X138" s="23" t="str">
        <f t="shared" si="0"/>
        <v/>
      </c>
    </row>
    <row r="139" spans="1:24">
      <c r="A139" s="18"/>
      <c r="B139" s="18"/>
      <c r="C139" s="18"/>
      <c r="D139" s="18"/>
      <c r="E139" s="18"/>
      <c r="F139" s="18"/>
      <c r="G139" s="13"/>
      <c r="H139" s="18"/>
      <c r="I139" s="18"/>
      <c r="J139" s="19"/>
      <c r="K139" s="18"/>
      <c r="L139" s="19"/>
      <c r="M139" s="18"/>
      <c r="N139" s="18"/>
      <c r="O139" s="20"/>
      <c r="P139" s="13"/>
      <c r="Q139" s="21"/>
      <c r="R139" s="21"/>
      <c r="S139" s="21"/>
      <c r="T139" s="13"/>
      <c r="U139" s="46"/>
      <c r="V139" s="23"/>
      <c r="W139" s="22" t="str">
        <f t="array" ref="W139">IF(A139="","",IFERROR(INDEX(PARAMETROS!$J$2:$J700,MATCH(H139,PARAMETROS!$E$2:$E700,0)),""))</f>
        <v/>
      </c>
      <c r="X139" s="23" t="str">
        <f t="shared" si="0"/>
        <v/>
      </c>
    </row>
    <row r="140" spans="1:24">
      <c r="A140" s="18"/>
      <c r="B140" s="18"/>
      <c r="C140" s="18"/>
      <c r="D140" s="18"/>
      <c r="E140" s="18"/>
      <c r="F140" s="18"/>
      <c r="G140" s="13"/>
      <c r="H140" s="18"/>
      <c r="I140" s="18"/>
      <c r="J140" s="19"/>
      <c r="K140" s="18"/>
      <c r="L140" s="19"/>
      <c r="M140" s="18"/>
      <c r="N140" s="18"/>
      <c r="O140" s="20"/>
      <c r="P140" s="13"/>
      <c r="Q140" s="21"/>
      <c r="R140" s="21"/>
      <c r="S140" s="21"/>
      <c r="T140" s="13"/>
      <c r="U140" s="46"/>
      <c r="V140" s="23"/>
      <c r="W140" s="22" t="str">
        <f t="array" ref="W140">IF(A140="","",IFERROR(INDEX(PARAMETROS!$J$2:$J700,MATCH(H140,PARAMETROS!$E$2:$E700,0)),""))</f>
        <v/>
      </c>
      <c r="X140" s="23" t="str">
        <f t="shared" si="0"/>
        <v/>
      </c>
    </row>
    <row r="141" spans="1:24">
      <c r="A141" s="18"/>
      <c r="B141" s="18"/>
      <c r="C141" s="18"/>
      <c r="D141" s="18"/>
      <c r="E141" s="18"/>
      <c r="F141" s="18"/>
      <c r="G141" s="13"/>
      <c r="H141" s="18"/>
      <c r="I141" s="18"/>
      <c r="J141" s="19"/>
      <c r="K141" s="18"/>
      <c r="L141" s="19"/>
      <c r="M141" s="18"/>
      <c r="N141" s="18"/>
      <c r="O141" s="20"/>
      <c r="P141" s="13"/>
      <c r="Q141" s="21"/>
      <c r="R141" s="21"/>
      <c r="S141" s="21"/>
      <c r="T141" s="13"/>
      <c r="U141" s="46"/>
      <c r="V141" s="23"/>
      <c r="W141" s="22" t="str">
        <f t="array" ref="W141">IF(A141="","",IFERROR(INDEX(PARAMETROS!$J$2:$J700,MATCH(H141,PARAMETROS!$E$2:$E700,0)),""))</f>
        <v/>
      </c>
      <c r="X141" s="23" t="str">
        <f t="shared" si="0"/>
        <v/>
      </c>
    </row>
    <row r="142" spans="1:24">
      <c r="A142" s="18"/>
      <c r="B142" s="18"/>
      <c r="C142" s="18"/>
      <c r="D142" s="18"/>
      <c r="E142" s="18"/>
      <c r="F142" s="18"/>
      <c r="G142" s="13"/>
      <c r="H142" s="18"/>
      <c r="I142" s="18"/>
      <c r="J142" s="19"/>
      <c r="K142" s="18"/>
      <c r="L142" s="19"/>
      <c r="M142" s="18"/>
      <c r="N142" s="18"/>
      <c r="O142" s="20"/>
      <c r="P142" s="13"/>
      <c r="Q142" s="21"/>
      <c r="R142" s="21"/>
      <c r="S142" s="21"/>
      <c r="T142" s="13"/>
      <c r="U142" s="46"/>
      <c r="V142" s="23"/>
      <c r="W142" s="22" t="str">
        <f t="array" ref="W142">IF(A142="","",IFERROR(INDEX(PARAMETROS!$J$2:$J700,MATCH(H142,PARAMETROS!$E$2:$E700,0)),""))</f>
        <v/>
      </c>
      <c r="X142" s="23" t="str">
        <f t="shared" si="0"/>
        <v/>
      </c>
    </row>
    <row r="143" spans="1:24">
      <c r="A143" s="18"/>
      <c r="B143" s="18"/>
      <c r="C143" s="18"/>
      <c r="D143" s="18"/>
      <c r="E143" s="18"/>
      <c r="F143" s="18"/>
      <c r="G143" s="13"/>
      <c r="H143" s="18"/>
      <c r="I143" s="18"/>
      <c r="J143" s="19"/>
      <c r="K143" s="18"/>
      <c r="L143" s="19"/>
      <c r="M143" s="18"/>
      <c r="N143" s="18"/>
      <c r="O143" s="20"/>
      <c r="P143" s="13"/>
      <c r="Q143" s="21"/>
      <c r="R143" s="21"/>
      <c r="S143" s="21"/>
      <c r="T143" s="13"/>
      <c r="U143" s="46"/>
      <c r="V143" s="23"/>
      <c r="W143" s="22" t="str">
        <f t="array" ref="W143">IF(A143="","",IFERROR(INDEX(PARAMETROS!$J$2:$J700,MATCH(H143,PARAMETROS!$E$2:$E700,0)),""))</f>
        <v/>
      </c>
      <c r="X143" s="23" t="str">
        <f t="shared" si="0"/>
        <v/>
      </c>
    </row>
    <row r="144" spans="1:24">
      <c r="A144" s="18"/>
      <c r="B144" s="18"/>
      <c r="C144" s="18"/>
      <c r="D144" s="18"/>
      <c r="E144" s="18"/>
      <c r="F144" s="18"/>
      <c r="G144" s="13"/>
      <c r="H144" s="18"/>
      <c r="I144" s="18"/>
      <c r="J144" s="19"/>
      <c r="K144" s="18"/>
      <c r="L144" s="19"/>
      <c r="M144" s="18"/>
      <c r="N144" s="18"/>
      <c r="O144" s="20"/>
      <c r="P144" s="13"/>
      <c r="Q144" s="21"/>
      <c r="R144" s="21"/>
      <c r="S144" s="21"/>
      <c r="T144" s="13"/>
      <c r="U144" s="46"/>
      <c r="V144" s="23"/>
      <c r="W144" s="22" t="str">
        <f t="array" ref="W144">IF(A144="","",IFERROR(INDEX(PARAMETROS!$J$2:$J700,MATCH(H144,PARAMETROS!$E$2:$E700,0)),""))</f>
        <v/>
      </c>
      <c r="X144" s="23" t="str">
        <f t="shared" si="0"/>
        <v/>
      </c>
    </row>
    <row r="145" spans="1:24">
      <c r="A145" s="18"/>
      <c r="B145" s="18"/>
      <c r="C145" s="18"/>
      <c r="D145" s="18"/>
      <c r="E145" s="18"/>
      <c r="F145" s="18"/>
      <c r="G145" s="13"/>
      <c r="H145" s="18"/>
      <c r="I145" s="18"/>
      <c r="J145" s="19"/>
      <c r="K145" s="18"/>
      <c r="L145" s="19"/>
      <c r="M145" s="18"/>
      <c r="N145" s="18"/>
      <c r="O145" s="20"/>
      <c r="P145" s="13"/>
      <c r="Q145" s="21"/>
      <c r="R145" s="21"/>
      <c r="S145" s="21"/>
      <c r="T145" s="13"/>
      <c r="U145" s="46"/>
      <c r="V145" s="23"/>
      <c r="W145" s="22" t="str">
        <f t="array" ref="W145">IF(A145="","",IFERROR(INDEX(PARAMETROS!$J$2:$J700,MATCH(H145,PARAMETROS!$E$2:$E700,0)),""))</f>
        <v/>
      </c>
      <c r="X145" s="23" t="str">
        <f t="shared" si="0"/>
        <v/>
      </c>
    </row>
    <row r="146" spans="1:24">
      <c r="A146" s="18"/>
      <c r="B146" s="18"/>
      <c r="C146" s="18"/>
      <c r="D146" s="18"/>
      <c r="E146" s="18"/>
      <c r="F146" s="18"/>
      <c r="G146" s="13"/>
      <c r="H146" s="18"/>
      <c r="I146" s="18"/>
      <c r="J146" s="19"/>
      <c r="K146" s="18"/>
      <c r="L146" s="19"/>
      <c r="M146" s="18"/>
      <c r="N146" s="18"/>
      <c r="O146" s="20"/>
      <c r="P146" s="13"/>
      <c r="Q146" s="21"/>
      <c r="R146" s="21"/>
      <c r="S146" s="21"/>
      <c r="T146" s="13"/>
      <c r="U146" s="46"/>
      <c r="V146" s="23"/>
      <c r="W146" s="22" t="str">
        <f t="array" ref="W146">IF(A146="","",IFERROR(INDEX(PARAMETROS!$J$2:$J700,MATCH(H146,PARAMETROS!$E$2:$E700,0)),""))</f>
        <v/>
      </c>
      <c r="X146" s="23" t="str">
        <f t="shared" si="0"/>
        <v/>
      </c>
    </row>
    <row r="147" spans="1:24">
      <c r="A147" s="18"/>
      <c r="B147" s="18"/>
      <c r="C147" s="18"/>
      <c r="D147" s="18"/>
      <c r="E147" s="18"/>
      <c r="F147" s="18"/>
      <c r="G147" s="13"/>
      <c r="H147" s="18"/>
      <c r="I147" s="18"/>
      <c r="J147" s="19"/>
      <c r="K147" s="18"/>
      <c r="L147" s="19"/>
      <c r="M147" s="18"/>
      <c r="N147" s="18"/>
      <c r="O147" s="20"/>
      <c r="P147" s="13"/>
      <c r="Q147" s="21"/>
      <c r="R147" s="21"/>
      <c r="S147" s="21"/>
      <c r="T147" s="13"/>
      <c r="U147" s="46"/>
      <c r="V147" s="23"/>
      <c r="W147" s="22" t="str">
        <f t="array" ref="W147">IF(A147="","",IFERROR(INDEX(PARAMETROS!$J$2:$J700,MATCH(H147,PARAMETROS!$E$2:$E700,0)),""))</f>
        <v/>
      </c>
      <c r="X147" s="23" t="str">
        <f t="shared" si="0"/>
        <v/>
      </c>
    </row>
    <row r="148" spans="1:24">
      <c r="A148" s="18"/>
      <c r="B148" s="18"/>
      <c r="C148" s="18"/>
      <c r="D148" s="18"/>
      <c r="E148" s="18"/>
      <c r="F148" s="18"/>
      <c r="G148" s="13"/>
      <c r="H148" s="18"/>
      <c r="I148" s="18"/>
      <c r="J148" s="19"/>
      <c r="K148" s="18"/>
      <c r="L148" s="19"/>
      <c r="M148" s="18"/>
      <c r="N148" s="18"/>
      <c r="O148" s="20"/>
      <c r="P148" s="13"/>
      <c r="Q148" s="21"/>
      <c r="R148" s="21"/>
      <c r="S148" s="21"/>
      <c r="T148" s="13"/>
      <c r="U148" s="46"/>
      <c r="V148" s="23"/>
      <c r="W148" s="22" t="str">
        <f t="array" ref="W148">IF(A148="","",IFERROR(INDEX(PARAMETROS!$J$2:$J700,MATCH(H148,PARAMETROS!$E$2:$E700,0)),""))</f>
        <v/>
      </c>
      <c r="X148" s="23" t="str">
        <f t="shared" si="0"/>
        <v/>
      </c>
    </row>
    <row r="149" spans="1:24">
      <c r="A149" s="18"/>
      <c r="B149" s="18"/>
      <c r="C149" s="18"/>
      <c r="D149" s="18"/>
      <c r="E149" s="18"/>
      <c r="F149" s="18"/>
      <c r="G149" s="13"/>
      <c r="H149" s="18"/>
      <c r="I149" s="18"/>
      <c r="J149" s="19"/>
      <c r="K149" s="18"/>
      <c r="L149" s="19"/>
      <c r="M149" s="18"/>
      <c r="N149" s="18"/>
      <c r="O149" s="20"/>
      <c r="P149" s="13"/>
      <c r="Q149" s="21"/>
      <c r="R149" s="21"/>
      <c r="S149" s="21"/>
      <c r="T149" s="13"/>
      <c r="U149" s="46"/>
      <c r="V149" s="23"/>
      <c r="W149" s="22" t="str">
        <f t="array" ref="W149">IF(A149="","",IFERROR(INDEX(PARAMETROS!$J$2:$J700,MATCH(H149,PARAMETROS!$E$2:$E700,0)),""))</f>
        <v/>
      </c>
      <c r="X149" s="23" t="str">
        <f t="shared" si="0"/>
        <v/>
      </c>
    </row>
    <row r="150" spans="1:24">
      <c r="A150" s="18"/>
      <c r="B150" s="18"/>
      <c r="C150" s="18"/>
      <c r="D150" s="18"/>
      <c r="E150" s="18"/>
      <c r="F150" s="18"/>
      <c r="G150" s="13"/>
      <c r="H150" s="18"/>
      <c r="I150" s="18"/>
      <c r="J150" s="19"/>
      <c r="K150" s="18"/>
      <c r="L150" s="19"/>
      <c r="M150" s="18"/>
      <c r="N150" s="18"/>
      <c r="O150" s="20"/>
      <c r="P150" s="13"/>
      <c r="Q150" s="21"/>
      <c r="R150" s="21"/>
      <c r="S150" s="21"/>
      <c r="T150" s="13"/>
      <c r="U150" s="46"/>
      <c r="V150" s="23"/>
      <c r="W150" s="22" t="str">
        <f t="array" ref="W150">IF(A150="","",IFERROR(INDEX(PARAMETROS!$J$2:$J700,MATCH(H150,PARAMETROS!$E$2:$E700,0)),""))</f>
        <v/>
      </c>
      <c r="X150" s="23" t="str">
        <f t="shared" si="0"/>
        <v/>
      </c>
    </row>
    <row r="151" spans="1:24">
      <c r="A151" s="18"/>
      <c r="B151" s="18"/>
      <c r="C151" s="18"/>
      <c r="D151" s="18"/>
      <c r="E151" s="18"/>
      <c r="F151" s="18"/>
      <c r="G151" s="13"/>
      <c r="H151" s="18"/>
      <c r="I151" s="18"/>
      <c r="J151" s="19"/>
      <c r="K151" s="18"/>
      <c r="L151" s="19"/>
      <c r="M151" s="18"/>
      <c r="N151" s="18"/>
      <c r="O151" s="20"/>
      <c r="P151" s="13"/>
      <c r="Q151" s="21"/>
      <c r="R151" s="21"/>
      <c r="S151" s="21"/>
      <c r="T151" s="13"/>
      <c r="U151" s="46"/>
      <c r="V151" s="23"/>
      <c r="W151" s="22" t="str">
        <f t="array" ref="W151">IF(A151="","",IFERROR(INDEX(PARAMETROS!$J$2:$J700,MATCH(H151,PARAMETROS!$E$2:$E700,0)),""))</f>
        <v/>
      </c>
      <c r="X151" s="23" t="str">
        <f t="shared" si="0"/>
        <v/>
      </c>
    </row>
    <row r="152" spans="1:24">
      <c r="A152" s="18"/>
      <c r="B152" s="18"/>
      <c r="C152" s="18"/>
      <c r="D152" s="18"/>
      <c r="E152" s="18"/>
      <c r="F152" s="18"/>
      <c r="G152" s="13"/>
      <c r="H152" s="18"/>
      <c r="I152" s="18"/>
      <c r="J152" s="19"/>
      <c r="K152" s="18"/>
      <c r="L152" s="19"/>
      <c r="M152" s="18"/>
      <c r="N152" s="18"/>
      <c r="O152" s="20"/>
      <c r="P152" s="13"/>
      <c r="Q152" s="21"/>
      <c r="R152" s="21"/>
      <c r="S152" s="21"/>
      <c r="T152" s="13"/>
      <c r="U152" s="46"/>
      <c r="V152" s="23"/>
      <c r="W152" s="22" t="str">
        <f t="array" ref="W152">IF(A152="","",IFERROR(INDEX(PARAMETROS!$J$2:$J700,MATCH(H152,PARAMETROS!$E$2:$E700,0)),""))</f>
        <v/>
      </c>
      <c r="X152" s="23" t="str">
        <f t="shared" si="0"/>
        <v/>
      </c>
    </row>
    <row r="153" spans="1:24">
      <c r="A153" s="18"/>
      <c r="B153" s="18"/>
      <c r="C153" s="18"/>
      <c r="D153" s="18"/>
      <c r="E153" s="18"/>
      <c r="F153" s="18"/>
      <c r="G153" s="13"/>
      <c r="H153" s="18"/>
      <c r="I153" s="18"/>
      <c r="J153" s="19"/>
      <c r="K153" s="18"/>
      <c r="L153" s="19"/>
      <c r="M153" s="18"/>
      <c r="N153" s="18"/>
      <c r="O153" s="20"/>
      <c r="P153" s="13"/>
      <c r="Q153" s="21"/>
      <c r="R153" s="21"/>
      <c r="S153" s="21"/>
      <c r="T153" s="13"/>
      <c r="U153" s="46"/>
      <c r="V153" s="23"/>
      <c r="W153" s="22" t="str">
        <f t="array" ref="W153">IF(A153="","",IFERROR(INDEX(PARAMETROS!$J$2:$J700,MATCH(H153,PARAMETROS!$E$2:$E700,0)),""))</f>
        <v/>
      </c>
      <c r="X153" s="23" t="str">
        <f t="shared" si="0"/>
        <v/>
      </c>
    </row>
    <row r="154" spans="1:24">
      <c r="A154" s="18"/>
      <c r="B154" s="18"/>
      <c r="C154" s="18"/>
      <c r="D154" s="18"/>
      <c r="E154" s="18"/>
      <c r="F154" s="18"/>
      <c r="G154" s="13"/>
      <c r="H154" s="18"/>
      <c r="I154" s="18"/>
      <c r="J154" s="19"/>
      <c r="K154" s="18"/>
      <c r="L154" s="19"/>
      <c r="M154" s="18"/>
      <c r="N154" s="18"/>
      <c r="O154" s="20"/>
      <c r="P154" s="13"/>
      <c r="Q154" s="21"/>
      <c r="R154" s="21"/>
      <c r="S154" s="21"/>
      <c r="T154" s="13"/>
      <c r="U154" s="46"/>
      <c r="V154" s="23"/>
      <c r="W154" s="22" t="str">
        <f t="array" ref="W154">IF(A154="","",IFERROR(INDEX(PARAMETROS!$J$2:$J700,MATCH(H154,PARAMETROS!$E$2:$E700,0)),""))</f>
        <v/>
      </c>
      <c r="X154" s="23" t="str">
        <f t="shared" si="0"/>
        <v/>
      </c>
    </row>
    <row r="155" spans="1:24">
      <c r="A155" s="18"/>
      <c r="B155" s="18"/>
      <c r="C155" s="18"/>
      <c r="D155" s="18"/>
      <c r="E155" s="18"/>
      <c r="F155" s="18"/>
      <c r="G155" s="13"/>
      <c r="H155" s="18"/>
      <c r="I155" s="18"/>
      <c r="J155" s="19"/>
      <c r="K155" s="18"/>
      <c r="L155" s="19"/>
      <c r="M155" s="18"/>
      <c r="N155" s="18"/>
      <c r="O155" s="20"/>
      <c r="P155" s="13"/>
      <c r="Q155" s="21"/>
      <c r="R155" s="21"/>
      <c r="S155" s="21"/>
      <c r="T155" s="13"/>
      <c r="U155" s="46"/>
      <c r="V155" s="23"/>
      <c r="W155" s="22" t="str">
        <f t="array" ref="W155">IF(A155="","",IFERROR(INDEX(PARAMETROS!$J$2:$J700,MATCH(H155,PARAMETROS!$E$2:$E700,0)),""))</f>
        <v/>
      </c>
      <c r="X155" s="23" t="str">
        <f t="shared" si="0"/>
        <v/>
      </c>
    </row>
    <row r="156" spans="1:24">
      <c r="A156" s="18"/>
      <c r="B156" s="18"/>
      <c r="C156" s="18"/>
      <c r="D156" s="18"/>
      <c r="E156" s="18"/>
      <c r="F156" s="18"/>
      <c r="G156" s="13"/>
      <c r="H156" s="18"/>
      <c r="I156" s="18"/>
      <c r="J156" s="19"/>
      <c r="K156" s="18"/>
      <c r="L156" s="19"/>
      <c r="M156" s="18"/>
      <c r="N156" s="18"/>
      <c r="O156" s="20"/>
      <c r="P156" s="13"/>
      <c r="Q156" s="21"/>
      <c r="R156" s="21"/>
      <c r="S156" s="21"/>
      <c r="T156" s="13"/>
      <c r="U156" s="46"/>
      <c r="V156" s="23"/>
      <c r="W156" s="22" t="str">
        <f t="array" ref="W156">IF(A156="","",IFERROR(INDEX(PARAMETROS!$J$2:$J700,MATCH(H156,PARAMETROS!$E$2:$E700,0)),""))</f>
        <v/>
      </c>
      <c r="X156" s="23" t="str">
        <f t="shared" si="0"/>
        <v/>
      </c>
    </row>
    <row r="157" spans="1:24">
      <c r="A157" s="18"/>
      <c r="B157" s="18"/>
      <c r="C157" s="18"/>
      <c r="D157" s="18"/>
      <c r="E157" s="18"/>
      <c r="F157" s="18"/>
      <c r="G157" s="13"/>
      <c r="H157" s="18"/>
      <c r="I157" s="18"/>
      <c r="J157" s="19"/>
      <c r="K157" s="18"/>
      <c r="L157" s="19"/>
      <c r="M157" s="18"/>
      <c r="N157" s="18"/>
      <c r="O157" s="20"/>
      <c r="P157" s="13"/>
      <c r="Q157" s="21"/>
      <c r="R157" s="21"/>
      <c r="S157" s="21"/>
      <c r="T157" s="13"/>
      <c r="U157" s="46"/>
      <c r="V157" s="23"/>
      <c r="W157" s="22" t="str">
        <f t="array" ref="W157">IF(A157="","",IFERROR(INDEX(PARAMETROS!$J$2:$J700,MATCH(H157,PARAMETROS!$E$2:$E700,0)),""))</f>
        <v/>
      </c>
      <c r="X157" s="23" t="str">
        <f t="shared" si="0"/>
        <v/>
      </c>
    </row>
    <row r="158" spans="1:24">
      <c r="A158" s="18"/>
      <c r="B158" s="18"/>
      <c r="C158" s="18"/>
      <c r="D158" s="18"/>
      <c r="E158" s="18"/>
      <c r="F158" s="18"/>
      <c r="G158" s="13"/>
      <c r="H158" s="18"/>
      <c r="I158" s="18"/>
      <c r="J158" s="19"/>
      <c r="K158" s="18"/>
      <c r="L158" s="19"/>
      <c r="M158" s="18"/>
      <c r="N158" s="18"/>
      <c r="O158" s="20"/>
      <c r="P158" s="13"/>
      <c r="Q158" s="21"/>
      <c r="R158" s="21"/>
      <c r="S158" s="21"/>
      <c r="T158" s="13"/>
      <c r="U158" s="46"/>
      <c r="V158" s="23"/>
      <c r="W158" s="22" t="str">
        <f t="array" ref="W158">IF(A158="","",IFERROR(INDEX(PARAMETROS!$J$2:$J700,MATCH(H158,PARAMETROS!$E$2:$E700,0)),""))</f>
        <v/>
      </c>
      <c r="X158" s="23" t="str">
        <f t="shared" si="0"/>
        <v/>
      </c>
    </row>
    <row r="159" spans="1:24">
      <c r="A159" s="18"/>
      <c r="B159" s="18"/>
      <c r="C159" s="18"/>
      <c r="D159" s="18"/>
      <c r="E159" s="18"/>
      <c r="F159" s="18"/>
      <c r="G159" s="13"/>
      <c r="H159" s="18"/>
      <c r="I159" s="18"/>
      <c r="J159" s="19"/>
      <c r="K159" s="18"/>
      <c r="L159" s="19"/>
      <c r="M159" s="18"/>
      <c r="N159" s="18"/>
      <c r="O159" s="20"/>
      <c r="P159" s="13"/>
      <c r="Q159" s="21"/>
      <c r="R159" s="21"/>
      <c r="S159" s="21"/>
      <c r="T159" s="13"/>
      <c r="U159" s="46"/>
      <c r="V159" s="23"/>
      <c r="W159" s="22" t="str">
        <f t="array" ref="W159">IF(A159="","",IFERROR(INDEX(PARAMETROS!$J$2:$J700,MATCH(H159,PARAMETROS!$E$2:$E700,0)),""))</f>
        <v/>
      </c>
      <c r="X159" s="23" t="str">
        <f t="shared" si="0"/>
        <v/>
      </c>
    </row>
    <row r="160" spans="1:24">
      <c r="A160" s="18"/>
      <c r="B160" s="18"/>
      <c r="C160" s="18"/>
      <c r="D160" s="18"/>
      <c r="E160" s="18"/>
      <c r="F160" s="18"/>
      <c r="G160" s="13"/>
      <c r="H160" s="18"/>
      <c r="I160" s="18"/>
      <c r="J160" s="19"/>
      <c r="K160" s="18"/>
      <c r="L160" s="19"/>
      <c r="M160" s="18"/>
      <c r="N160" s="18"/>
      <c r="O160" s="20"/>
      <c r="P160" s="13"/>
      <c r="Q160" s="21"/>
      <c r="R160" s="21"/>
      <c r="S160" s="21"/>
      <c r="T160" s="13"/>
      <c r="U160" s="46"/>
      <c r="V160" s="23"/>
      <c r="W160" s="22" t="str">
        <f t="array" ref="W160">IF(A160="","",IFERROR(INDEX(PARAMETROS!$J$2:$J700,MATCH(H160,PARAMETROS!$E$2:$E700,0)),""))</f>
        <v/>
      </c>
      <c r="X160" s="23" t="str">
        <f t="shared" si="0"/>
        <v/>
      </c>
    </row>
    <row r="161" spans="1:24">
      <c r="A161" s="18"/>
      <c r="B161" s="18"/>
      <c r="C161" s="18"/>
      <c r="D161" s="18"/>
      <c r="E161" s="18"/>
      <c r="F161" s="18"/>
      <c r="G161" s="13"/>
      <c r="H161" s="18"/>
      <c r="I161" s="18"/>
      <c r="J161" s="19"/>
      <c r="K161" s="18"/>
      <c r="L161" s="19"/>
      <c r="M161" s="18"/>
      <c r="N161" s="18"/>
      <c r="O161" s="20"/>
      <c r="P161" s="13"/>
      <c r="Q161" s="21"/>
      <c r="R161" s="21"/>
      <c r="S161" s="21"/>
      <c r="T161" s="13"/>
      <c r="U161" s="46"/>
      <c r="V161" s="23"/>
      <c r="W161" s="22" t="str">
        <f t="array" ref="W161">IF(A161="","",IFERROR(INDEX(PARAMETROS!$J$2:$J700,MATCH(H161,PARAMETROS!$E$2:$E700,0)),""))</f>
        <v/>
      </c>
      <c r="X161" s="23" t="str">
        <f t="shared" si="0"/>
        <v/>
      </c>
    </row>
    <row r="162" spans="1:24">
      <c r="A162" s="18"/>
      <c r="B162" s="18"/>
      <c r="C162" s="18"/>
      <c r="D162" s="18"/>
      <c r="E162" s="18"/>
      <c r="F162" s="18"/>
      <c r="G162" s="13"/>
      <c r="H162" s="18"/>
      <c r="I162" s="18"/>
      <c r="J162" s="19"/>
      <c r="K162" s="18"/>
      <c r="L162" s="19"/>
      <c r="M162" s="18"/>
      <c r="N162" s="18"/>
      <c r="O162" s="20"/>
      <c r="P162" s="13"/>
      <c r="Q162" s="21"/>
      <c r="R162" s="21"/>
      <c r="S162" s="21"/>
      <c r="T162" s="13"/>
      <c r="U162" s="46"/>
      <c r="V162" s="23"/>
      <c r="W162" s="22" t="str">
        <f t="array" ref="W162">IF(A162="","",IFERROR(INDEX(PARAMETROS!$J$2:$J700,MATCH(H162,PARAMETROS!$E$2:$E700,0)),""))</f>
        <v/>
      </c>
      <c r="X162" s="23" t="str">
        <f t="shared" si="0"/>
        <v/>
      </c>
    </row>
    <row r="163" spans="1:24">
      <c r="A163" s="18"/>
      <c r="B163" s="18"/>
      <c r="C163" s="18"/>
      <c r="D163" s="18"/>
      <c r="E163" s="18"/>
      <c r="F163" s="18"/>
      <c r="G163" s="13"/>
      <c r="H163" s="18"/>
      <c r="I163" s="18"/>
      <c r="J163" s="20"/>
      <c r="K163" s="18"/>
      <c r="L163" s="20"/>
      <c r="M163" s="18"/>
      <c r="N163" s="18"/>
      <c r="O163" s="20"/>
      <c r="P163" s="13"/>
      <c r="Q163" s="21"/>
      <c r="R163" s="21"/>
      <c r="S163" s="21"/>
      <c r="T163" s="13"/>
      <c r="U163" s="46"/>
      <c r="V163" s="23"/>
      <c r="W163" s="22" t="str">
        <f t="array" ref="W163">IF(A163="","",IFERROR(INDEX(PARAMETROS!$J$2:$J700,MATCH(H163,PARAMETROS!$E$2:$E700,0)),""))</f>
        <v/>
      </c>
      <c r="X163" s="23" t="str">
        <f t="shared" si="0"/>
        <v/>
      </c>
    </row>
    <row r="164" spans="1:24">
      <c r="A164" s="18"/>
      <c r="B164" s="18"/>
      <c r="C164" s="18"/>
      <c r="D164" s="18"/>
      <c r="E164" s="18"/>
      <c r="F164" s="18"/>
      <c r="G164" s="13"/>
      <c r="H164" s="18"/>
      <c r="I164" s="18"/>
      <c r="J164" s="20"/>
      <c r="K164" s="18"/>
      <c r="L164" s="20"/>
      <c r="M164" s="18"/>
      <c r="N164" s="18"/>
      <c r="O164" s="20"/>
      <c r="P164" s="13"/>
      <c r="Q164" s="21"/>
      <c r="R164" s="21"/>
      <c r="S164" s="21"/>
      <c r="T164" s="13"/>
      <c r="U164" s="46"/>
      <c r="V164" s="23"/>
      <c r="W164" s="22" t="str">
        <f t="array" ref="W164">IF(A164="","",IFERROR(INDEX(PARAMETROS!$J$2:$J700,MATCH(H164,PARAMETROS!$E$2:$E700,0)),""))</f>
        <v/>
      </c>
      <c r="X164" s="23" t="str">
        <f t="shared" si="0"/>
        <v/>
      </c>
    </row>
    <row r="165" spans="1:24">
      <c r="A165" s="18"/>
      <c r="B165" s="18"/>
      <c r="C165" s="18"/>
      <c r="D165" s="18"/>
      <c r="E165" s="18"/>
      <c r="F165" s="18"/>
      <c r="G165" s="13"/>
      <c r="H165" s="18"/>
      <c r="I165" s="18"/>
      <c r="J165" s="19"/>
      <c r="K165" s="18"/>
      <c r="L165" s="19"/>
      <c r="M165" s="18"/>
      <c r="N165" s="18"/>
      <c r="O165" s="20"/>
      <c r="P165" s="13"/>
      <c r="Q165" s="21"/>
      <c r="R165" s="21"/>
      <c r="S165" s="21"/>
      <c r="T165" s="13"/>
      <c r="U165" s="46"/>
      <c r="V165" s="23"/>
      <c r="W165" s="22" t="str">
        <f t="array" ref="W165">IF(A165="","",IFERROR(INDEX(PARAMETROS!$J$2:$J700,MATCH(H165,PARAMETROS!$E$2:$E700,0)),""))</f>
        <v/>
      </c>
      <c r="X165" s="23" t="str">
        <f t="shared" si="0"/>
        <v/>
      </c>
    </row>
    <row r="166" spans="1:24">
      <c r="A166" s="18"/>
      <c r="B166" s="18"/>
      <c r="C166" s="18"/>
      <c r="D166" s="18"/>
      <c r="E166" s="18"/>
      <c r="F166" s="18"/>
      <c r="G166" s="13"/>
      <c r="H166" s="18"/>
      <c r="I166" s="18"/>
      <c r="J166" s="19"/>
      <c r="K166" s="18"/>
      <c r="L166" s="19"/>
      <c r="M166" s="18"/>
      <c r="N166" s="18"/>
      <c r="O166" s="20"/>
      <c r="P166" s="13"/>
      <c r="Q166" s="21"/>
      <c r="R166" s="21"/>
      <c r="S166" s="21"/>
      <c r="T166" s="13"/>
      <c r="U166" s="46"/>
      <c r="V166" s="23"/>
      <c r="W166" s="22" t="str">
        <f t="array" ref="W166">IF(A166="","",IFERROR(INDEX(PARAMETROS!$J$2:$J700,MATCH(H166,PARAMETROS!$E$2:$E700,0)),""))</f>
        <v/>
      </c>
      <c r="X166" s="23" t="str">
        <f t="shared" si="0"/>
        <v/>
      </c>
    </row>
    <row r="167" spans="1:24">
      <c r="A167" s="18"/>
      <c r="B167" s="18"/>
      <c r="C167" s="18"/>
      <c r="D167" s="18"/>
      <c r="E167" s="18"/>
      <c r="F167" s="18"/>
      <c r="G167" s="13"/>
      <c r="H167" s="18"/>
      <c r="I167" s="18"/>
      <c r="J167" s="19"/>
      <c r="K167" s="18"/>
      <c r="L167" s="19"/>
      <c r="M167" s="18"/>
      <c r="N167" s="18"/>
      <c r="O167" s="20"/>
      <c r="P167" s="13"/>
      <c r="Q167" s="21"/>
      <c r="R167" s="21"/>
      <c r="S167" s="21"/>
      <c r="T167" s="13"/>
      <c r="U167" s="46"/>
      <c r="V167" s="23"/>
      <c r="W167" s="22" t="str">
        <f t="array" ref="W167">IF(A167="","",IFERROR(INDEX(PARAMETROS!$J$2:$J700,MATCH(H167,PARAMETROS!$E$2:$E700,0)),""))</f>
        <v/>
      </c>
      <c r="X167" s="23" t="str">
        <f t="shared" si="0"/>
        <v/>
      </c>
    </row>
    <row r="168" spans="1:24">
      <c r="A168" s="12"/>
      <c r="B168" s="12"/>
      <c r="C168" s="12"/>
      <c r="D168" s="12"/>
      <c r="E168" s="12"/>
      <c r="F168" s="12"/>
      <c r="G168" s="13"/>
      <c r="H168" s="12"/>
      <c r="I168" s="12"/>
      <c r="J168" s="14"/>
      <c r="K168" s="12"/>
      <c r="L168" s="14"/>
      <c r="M168" s="12"/>
      <c r="N168" s="12"/>
      <c r="O168" s="14"/>
      <c r="P168" s="12"/>
      <c r="Q168" s="15"/>
      <c r="R168" s="15"/>
      <c r="S168" s="21"/>
      <c r="T168" s="13"/>
      <c r="U168" s="46"/>
      <c r="V168" s="23"/>
      <c r="W168" s="22" t="str">
        <f t="array" ref="W168">IF(A168="","",IFERROR(INDEX(PARAMETROS!$J$2:$J700,MATCH(H168,PARAMETROS!$E$2:$E700,0)),""))</f>
        <v/>
      </c>
      <c r="X168" s="23" t="str">
        <f t="shared" si="0"/>
        <v/>
      </c>
    </row>
    <row r="169" spans="1:24">
      <c r="A169" s="12"/>
      <c r="B169" s="12"/>
      <c r="C169" s="12"/>
      <c r="D169" s="12"/>
      <c r="E169" s="12"/>
      <c r="F169" s="12"/>
      <c r="G169" s="13"/>
      <c r="H169" s="12"/>
      <c r="I169" s="12"/>
      <c r="J169" s="14"/>
      <c r="K169" s="12"/>
      <c r="L169" s="14"/>
      <c r="M169" s="12"/>
      <c r="N169" s="12"/>
      <c r="O169" s="14"/>
      <c r="P169" s="12"/>
      <c r="Q169" s="15"/>
      <c r="R169" s="15"/>
      <c r="S169" s="21"/>
      <c r="T169" s="13"/>
      <c r="U169" s="46"/>
      <c r="V169" s="23"/>
      <c r="W169" s="22" t="str">
        <f t="array" ref="W169">IF(A169="","",IFERROR(INDEX(PARAMETROS!$J$2:$J700,MATCH(H169,PARAMETROS!$E$2:$E700,0)),""))</f>
        <v/>
      </c>
      <c r="X169" s="23" t="str">
        <f t="shared" si="0"/>
        <v/>
      </c>
    </row>
    <row r="170" spans="1:24">
      <c r="A170" s="12"/>
      <c r="B170" s="12"/>
      <c r="C170" s="12"/>
      <c r="D170" s="12"/>
      <c r="E170" s="12"/>
      <c r="F170" s="12"/>
      <c r="G170" s="13"/>
      <c r="H170" s="12"/>
      <c r="I170" s="12"/>
      <c r="J170" s="14"/>
      <c r="K170" s="12"/>
      <c r="L170" s="14"/>
      <c r="M170" s="12"/>
      <c r="N170" s="12"/>
      <c r="O170" s="14"/>
      <c r="P170" s="12"/>
      <c r="Q170" s="15"/>
      <c r="R170" s="15"/>
      <c r="S170" s="21"/>
      <c r="T170" s="13"/>
      <c r="U170" s="46"/>
      <c r="V170" s="23"/>
      <c r="W170" s="22" t="str">
        <f t="array" ref="W170">IF(A170="","",IFERROR(INDEX(PARAMETROS!$J$2:$J700,MATCH(H170,PARAMETROS!$E$2:$E700,0)),""))</f>
        <v/>
      </c>
      <c r="X170" s="23" t="str">
        <f t="shared" si="0"/>
        <v/>
      </c>
    </row>
    <row r="171" spans="1:24">
      <c r="A171" s="12"/>
      <c r="B171" s="12"/>
      <c r="C171" s="12"/>
      <c r="D171" s="12"/>
      <c r="E171" s="12"/>
      <c r="F171" s="12"/>
      <c r="G171" s="13"/>
      <c r="H171" s="12"/>
      <c r="I171" s="12"/>
      <c r="J171" s="14"/>
      <c r="K171" s="12"/>
      <c r="L171" s="14"/>
      <c r="M171" s="12"/>
      <c r="N171" s="12"/>
      <c r="O171" s="24"/>
      <c r="P171" s="12"/>
      <c r="Q171" s="15"/>
      <c r="R171" s="15"/>
      <c r="S171" s="21"/>
      <c r="T171" s="13"/>
      <c r="U171" s="46"/>
      <c r="V171" s="23"/>
      <c r="W171" s="22" t="str">
        <f t="array" ref="W171">IF(A171="","",IFERROR(INDEX(PARAMETROS!$J$2:$J700,MATCH(H171,PARAMETROS!$E$2:$E700,0)),""))</f>
        <v/>
      </c>
      <c r="X171" s="23" t="str">
        <f t="shared" si="0"/>
        <v/>
      </c>
    </row>
    <row r="172" spans="1:24">
      <c r="A172" s="12"/>
      <c r="B172" s="12"/>
      <c r="C172" s="12"/>
      <c r="D172" s="12"/>
      <c r="E172" s="12"/>
      <c r="F172" s="12"/>
      <c r="G172" s="13"/>
      <c r="H172" s="12"/>
      <c r="I172" s="12"/>
      <c r="J172" s="14"/>
      <c r="K172" s="12"/>
      <c r="L172" s="14"/>
      <c r="M172" s="12"/>
      <c r="N172" s="12"/>
      <c r="O172" s="24"/>
      <c r="P172" s="12"/>
      <c r="Q172" s="15"/>
      <c r="R172" s="15"/>
      <c r="S172" s="21"/>
      <c r="T172" s="13"/>
      <c r="U172" s="46"/>
      <c r="V172" s="23"/>
      <c r="W172" s="22" t="str">
        <f t="array" ref="W172">IF(A172="","",IFERROR(INDEX(PARAMETROS!$J$2:$J700,MATCH(H172,PARAMETROS!$E$2:$E700,0)),""))</f>
        <v/>
      </c>
      <c r="X172" s="23" t="str">
        <f t="shared" si="0"/>
        <v/>
      </c>
    </row>
    <row r="173" spans="1:24">
      <c r="A173" s="12"/>
      <c r="B173" s="12"/>
      <c r="C173" s="12"/>
      <c r="D173" s="12"/>
      <c r="E173" s="12"/>
      <c r="F173" s="12"/>
      <c r="G173" s="13"/>
      <c r="H173" s="12"/>
      <c r="I173" s="12"/>
      <c r="J173" s="14"/>
      <c r="K173" s="12"/>
      <c r="L173" s="14"/>
      <c r="M173" s="12"/>
      <c r="N173" s="12"/>
      <c r="O173" s="14"/>
      <c r="P173" s="12"/>
      <c r="Q173" s="15"/>
      <c r="R173" s="15"/>
      <c r="S173" s="21"/>
      <c r="T173" s="13"/>
      <c r="U173" s="46"/>
      <c r="V173" s="23"/>
      <c r="W173" s="22" t="str">
        <f t="array" ref="W173">IF(A173="","",IFERROR(INDEX(PARAMETROS!$J$2:$J700,MATCH(H173,PARAMETROS!$E$2:$E700,0)),""))</f>
        <v/>
      </c>
      <c r="X173" s="23" t="str">
        <f t="shared" si="0"/>
        <v/>
      </c>
    </row>
    <row r="174" spans="1:24">
      <c r="A174" s="12"/>
      <c r="B174" s="12"/>
      <c r="C174" s="12"/>
      <c r="D174" s="12"/>
      <c r="E174" s="12"/>
      <c r="F174" s="12"/>
      <c r="G174" s="13"/>
      <c r="H174" s="12"/>
      <c r="I174" s="12"/>
      <c r="J174" s="14"/>
      <c r="K174" s="12"/>
      <c r="L174" s="14"/>
      <c r="M174" s="12"/>
      <c r="N174" s="12"/>
      <c r="O174" s="14"/>
      <c r="P174" s="12"/>
      <c r="Q174" s="15"/>
      <c r="R174" s="15"/>
      <c r="S174" s="21"/>
      <c r="T174" s="13"/>
      <c r="U174" s="46"/>
      <c r="V174" s="23"/>
      <c r="W174" s="22" t="str">
        <f t="array" ref="W174">IF(A174="","",IFERROR(INDEX(PARAMETROS!$J$2:$J700,MATCH(H174,PARAMETROS!$E$2:$E700,0)),""))</f>
        <v/>
      </c>
      <c r="X174" s="23" t="str">
        <f t="shared" si="0"/>
        <v/>
      </c>
    </row>
    <row r="175" spans="1:24">
      <c r="A175" s="12"/>
      <c r="B175" s="12"/>
      <c r="C175" s="12"/>
      <c r="D175" s="12"/>
      <c r="E175" s="12"/>
      <c r="F175" s="12"/>
      <c r="G175" s="13"/>
      <c r="H175" s="12"/>
      <c r="I175" s="12"/>
      <c r="J175" s="14"/>
      <c r="K175" s="12"/>
      <c r="L175" s="14"/>
      <c r="M175" s="12"/>
      <c r="N175" s="12"/>
      <c r="O175" s="14"/>
      <c r="P175" s="12"/>
      <c r="Q175" s="15"/>
      <c r="R175" s="15"/>
      <c r="S175" s="21"/>
      <c r="T175" s="13"/>
      <c r="U175" s="46"/>
      <c r="V175" s="23"/>
      <c r="W175" s="22" t="str">
        <f t="array" ref="W175">IF(A175="","",IFERROR(INDEX(PARAMETROS!$J$2:$J700,MATCH(H175,PARAMETROS!$E$2:$E700,0)),""))</f>
        <v/>
      </c>
      <c r="X175" s="23" t="str">
        <f t="shared" si="0"/>
        <v/>
      </c>
    </row>
    <row r="176" spans="1:24">
      <c r="A176" s="12"/>
      <c r="B176" s="12"/>
      <c r="C176" s="12"/>
      <c r="D176" s="12"/>
      <c r="E176" s="12"/>
      <c r="F176" s="12"/>
      <c r="G176" s="13"/>
      <c r="H176" s="12"/>
      <c r="I176" s="12"/>
      <c r="J176" s="14"/>
      <c r="K176" s="12"/>
      <c r="L176" s="14"/>
      <c r="M176" s="12"/>
      <c r="N176" s="12"/>
      <c r="O176" s="14"/>
      <c r="P176" s="12"/>
      <c r="Q176" s="15"/>
      <c r="R176" s="15"/>
      <c r="S176" s="21"/>
      <c r="T176" s="13"/>
      <c r="U176" s="46"/>
      <c r="V176" s="23"/>
      <c r="W176" s="22" t="str">
        <f t="array" ref="W176">IF(A176="","",IFERROR(INDEX(PARAMETROS!$J$2:$J700,MATCH(H176,PARAMETROS!$E$2:$E700,0)),""))</f>
        <v/>
      </c>
      <c r="X176" s="23" t="str">
        <f t="shared" si="0"/>
        <v/>
      </c>
    </row>
    <row r="177" spans="1:24">
      <c r="A177" s="12"/>
      <c r="B177" s="12"/>
      <c r="C177" s="12"/>
      <c r="D177" s="12"/>
      <c r="E177" s="12"/>
      <c r="F177" s="12"/>
      <c r="G177" s="13"/>
      <c r="H177" s="12"/>
      <c r="I177" s="12"/>
      <c r="J177" s="14"/>
      <c r="K177" s="12"/>
      <c r="L177" s="14"/>
      <c r="M177" s="12"/>
      <c r="N177" s="12"/>
      <c r="O177" s="14"/>
      <c r="P177" s="12"/>
      <c r="Q177" s="15"/>
      <c r="R177" s="15"/>
      <c r="S177" s="21"/>
      <c r="T177" s="13"/>
      <c r="U177" s="46"/>
      <c r="V177" s="23"/>
      <c r="W177" s="22" t="str">
        <f t="array" ref="W177">IF(A177="","",IFERROR(INDEX(PARAMETROS!$J$2:$J700,MATCH(H177,PARAMETROS!$E$2:$E700,0)),""))</f>
        <v/>
      </c>
      <c r="X177" s="23" t="str">
        <f t="shared" si="0"/>
        <v/>
      </c>
    </row>
    <row r="178" spans="1:24">
      <c r="A178" s="12"/>
      <c r="B178" s="12"/>
      <c r="C178" s="12"/>
      <c r="D178" s="12"/>
      <c r="E178" s="12"/>
      <c r="F178" s="12"/>
      <c r="G178" s="13"/>
      <c r="H178" s="12"/>
      <c r="I178" s="12"/>
      <c r="J178" s="14"/>
      <c r="K178" s="12"/>
      <c r="L178" s="14"/>
      <c r="M178" s="12"/>
      <c r="N178" s="12"/>
      <c r="O178" s="14"/>
      <c r="P178" s="12"/>
      <c r="Q178" s="15"/>
      <c r="R178" s="15"/>
      <c r="S178" s="21"/>
      <c r="T178" s="13"/>
      <c r="U178" s="46"/>
      <c r="V178" s="23"/>
      <c r="W178" s="22" t="str">
        <f t="array" ref="W178">IF(A178="","",IFERROR(INDEX(PARAMETROS!$J$2:$J700,MATCH(H178,PARAMETROS!$E$2:$E700,0)),""))</f>
        <v/>
      </c>
      <c r="X178" s="23" t="str">
        <f t="shared" si="0"/>
        <v/>
      </c>
    </row>
    <row r="179" spans="1:24">
      <c r="A179" s="12"/>
      <c r="B179" s="12"/>
      <c r="C179" s="12"/>
      <c r="D179" s="12"/>
      <c r="E179" s="12"/>
      <c r="F179" s="12"/>
      <c r="G179" s="13"/>
      <c r="H179" s="12"/>
      <c r="I179" s="12"/>
      <c r="J179" s="14"/>
      <c r="K179" s="12"/>
      <c r="L179" s="14"/>
      <c r="M179" s="12"/>
      <c r="N179" s="12"/>
      <c r="O179" s="14"/>
      <c r="P179" s="12"/>
      <c r="Q179" s="15"/>
      <c r="R179" s="15"/>
      <c r="S179" s="21"/>
      <c r="T179" s="13"/>
      <c r="U179" s="46"/>
      <c r="V179" s="23"/>
      <c r="W179" s="22" t="str">
        <f t="array" ref="W179">IF(A179="","",IFERROR(INDEX(PARAMETROS!$J$2:$J700,MATCH(H179,PARAMETROS!$E$2:$E700,0)),""))</f>
        <v/>
      </c>
      <c r="X179" s="23" t="str">
        <f t="shared" si="0"/>
        <v/>
      </c>
    </row>
    <row r="180" spans="1:24">
      <c r="A180" s="12"/>
      <c r="B180" s="12"/>
      <c r="C180" s="12"/>
      <c r="D180" s="12"/>
      <c r="E180" s="12"/>
      <c r="F180" s="12"/>
      <c r="G180" s="13"/>
      <c r="H180" s="12"/>
      <c r="I180" s="12"/>
      <c r="J180" s="14"/>
      <c r="K180" s="12"/>
      <c r="L180" s="14"/>
      <c r="M180" s="12"/>
      <c r="N180" s="12"/>
      <c r="O180" s="14"/>
      <c r="P180" s="12"/>
      <c r="Q180" s="15"/>
      <c r="R180" s="15"/>
      <c r="S180" s="21"/>
      <c r="T180" s="13"/>
      <c r="U180" s="46"/>
      <c r="V180" s="23"/>
      <c r="W180" s="22" t="str">
        <f t="array" ref="W180">IF(A180="","",IFERROR(INDEX(PARAMETROS!$J$2:$J700,MATCH(H180,PARAMETROS!$E$2:$E700,0)),""))</f>
        <v/>
      </c>
      <c r="X180" s="23" t="str">
        <f t="shared" si="0"/>
        <v/>
      </c>
    </row>
    <row r="181" spans="1:24">
      <c r="A181" s="12"/>
      <c r="B181" s="12"/>
      <c r="C181" s="12"/>
      <c r="D181" s="12"/>
      <c r="E181" s="12"/>
      <c r="F181" s="12"/>
      <c r="G181" s="13"/>
      <c r="H181" s="12"/>
      <c r="I181" s="12"/>
      <c r="J181" s="14"/>
      <c r="K181" s="12"/>
      <c r="L181" s="14"/>
      <c r="M181" s="12"/>
      <c r="N181" s="12"/>
      <c r="O181" s="14"/>
      <c r="P181" s="12"/>
      <c r="Q181" s="15"/>
      <c r="R181" s="15"/>
      <c r="S181" s="21"/>
      <c r="T181" s="13"/>
      <c r="U181" s="46"/>
      <c r="V181" s="23"/>
      <c r="W181" s="22" t="str">
        <f t="array" ref="W181">IF(A181="","",IFERROR(INDEX(PARAMETROS!$J$2:$J700,MATCH(H181,PARAMETROS!$E$2:$E700,0)),""))</f>
        <v/>
      </c>
      <c r="X181" s="23" t="str">
        <f t="shared" si="0"/>
        <v/>
      </c>
    </row>
    <row r="182" spans="1:24">
      <c r="A182" s="12"/>
      <c r="B182" s="12"/>
      <c r="C182" s="12"/>
      <c r="D182" s="12"/>
      <c r="E182" s="12"/>
      <c r="F182" s="12"/>
      <c r="G182" s="13"/>
      <c r="H182" s="12"/>
      <c r="I182" s="12"/>
      <c r="J182" s="14"/>
      <c r="K182" s="12"/>
      <c r="L182" s="14"/>
      <c r="M182" s="12"/>
      <c r="N182" s="12"/>
      <c r="O182" s="14"/>
      <c r="P182" s="12"/>
      <c r="Q182" s="15"/>
      <c r="R182" s="15"/>
      <c r="S182" s="21"/>
      <c r="T182" s="13"/>
      <c r="U182" s="46"/>
      <c r="V182" s="23"/>
      <c r="W182" s="22" t="str">
        <f t="array" ref="W182">IF(A182="","",IFERROR(INDEX(PARAMETROS!$J$2:$J700,MATCH(H182,PARAMETROS!$E$2:$E700,0)),""))</f>
        <v/>
      </c>
      <c r="X182" s="23" t="str">
        <f t="shared" si="0"/>
        <v/>
      </c>
    </row>
    <row r="183" spans="1:24">
      <c r="A183" s="12"/>
      <c r="B183" s="12"/>
      <c r="C183" s="12"/>
      <c r="D183" s="12"/>
      <c r="E183" s="12"/>
      <c r="F183" s="12"/>
      <c r="G183" s="13"/>
      <c r="H183" s="12"/>
      <c r="I183" s="12"/>
      <c r="J183" s="14"/>
      <c r="K183" s="12"/>
      <c r="L183" s="14"/>
      <c r="M183" s="12"/>
      <c r="N183" s="12"/>
      <c r="O183" s="14"/>
      <c r="P183" s="12"/>
      <c r="Q183" s="15"/>
      <c r="R183" s="15"/>
      <c r="S183" s="21"/>
      <c r="T183" s="13"/>
      <c r="U183" s="46"/>
      <c r="V183" s="23"/>
      <c r="W183" s="22" t="str">
        <f t="array" ref="W183">IF(A183="","",IFERROR(INDEX(PARAMETROS!$J$2:$J700,MATCH(H183,PARAMETROS!$E$2:$E700,0)),""))</f>
        <v/>
      </c>
      <c r="X183" s="23" t="str">
        <f t="shared" si="0"/>
        <v/>
      </c>
    </row>
    <row r="184" spans="1:24">
      <c r="A184" s="12"/>
      <c r="B184" s="12"/>
      <c r="C184" s="12"/>
      <c r="D184" s="12"/>
      <c r="E184" s="12"/>
      <c r="F184" s="12"/>
      <c r="G184" s="13"/>
      <c r="H184" s="12"/>
      <c r="I184" s="12"/>
      <c r="J184" s="14"/>
      <c r="K184" s="12"/>
      <c r="L184" s="14"/>
      <c r="M184" s="12"/>
      <c r="N184" s="12"/>
      <c r="O184" s="14"/>
      <c r="P184" s="12"/>
      <c r="Q184" s="15"/>
      <c r="R184" s="15"/>
      <c r="S184" s="21"/>
      <c r="T184" s="13"/>
      <c r="U184" s="46"/>
      <c r="V184" s="23"/>
      <c r="W184" s="22" t="str">
        <f t="array" ref="W184">IF(A184="","",IFERROR(INDEX(PARAMETROS!$J$2:$J700,MATCH(H184,PARAMETROS!$E$2:$E700,0)),""))</f>
        <v/>
      </c>
      <c r="X184" s="23" t="str">
        <f t="shared" si="0"/>
        <v/>
      </c>
    </row>
    <row r="185" spans="1:24">
      <c r="A185" s="12"/>
      <c r="B185" s="12"/>
      <c r="C185" s="12"/>
      <c r="D185" s="12"/>
      <c r="E185" s="12"/>
      <c r="F185" s="12"/>
      <c r="G185" s="13"/>
      <c r="H185" s="12"/>
      <c r="I185" s="12"/>
      <c r="J185" s="14"/>
      <c r="K185" s="12"/>
      <c r="L185" s="14"/>
      <c r="M185" s="12"/>
      <c r="N185" s="12"/>
      <c r="O185" s="14"/>
      <c r="P185" s="12"/>
      <c r="Q185" s="15"/>
      <c r="R185" s="15"/>
      <c r="S185" s="21"/>
      <c r="T185" s="13"/>
      <c r="U185" s="46"/>
      <c r="V185" s="23"/>
      <c r="W185" s="22" t="str">
        <f t="array" ref="W185">IF(A185="","",IFERROR(INDEX(PARAMETROS!$J$2:$J700,MATCH(H185,PARAMETROS!$E$2:$E700,0)),""))</f>
        <v/>
      </c>
      <c r="X185" s="23" t="str">
        <f t="shared" si="0"/>
        <v/>
      </c>
    </row>
    <row r="186" spans="1:24">
      <c r="A186" s="12"/>
      <c r="B186" s="12"/>
      <c r="C186" s="12"/>
      <c r="D186" s="12"/>
      <c r="E186" s="12"/>
      <c r="F186" s="12"/>
      <c r="G186" s="13"/>
      <c r="H186" s="12"/>
      <c r="I186" s="12"/>
      <c r="J186" s="14"/>
      <c r="K186" s="12"/>
      <c r="L186" s="14"/>
      <c r="M186" s="12"/>
      <c r="N186" s="12"/>
      <c r="O186" s="14"/>
      <c r="P186" s="12"/>
      <c r="Q186" s="15"/>
      <c r="R186" s="15"/>
      <c r="S186" s="21"/>
      <c r="T186" s="13"/>
      <c r="U186" s="46"/>
      <c r="V186" s="23"/>
      <c r="W186" s="22" t="str">
        <f t="array" ref="W186">IF(A186="","",IFERROR(INDEX(PARAMETROS!$J$2:$J700,MATCH(H186,PARAMETROS!$E$2:$E700,0)),""))</f>
        <v/>
      </c>
      <c r="X186" s="23" t="str">
        <f t="shared" si="0"/>
        <v/>
      </c>
    </row>
    <row r="187" spans="1:24">
      <c r="A187" s="12"/>
      <c r="B187" s="12"/>
      <c r="C187" s="12"/>
      <c r="D187" s="12"/>
      <c r="E187" s="12"/>
      <c r="F187" s="12"/>
      <c r="G187" s="13"/>
      <c r="H187" s="12"/>
      <c r="I187" s="12"/>
      <c r="J187" s="14"/>
      <c r="K187" s="12"/>
      <c r="L187" s="14"/>
      <c r="M187" s="12"/>
      <c r="N187" s="12"/>
      <c r="O187" s="14"/>
      <c r="P187" s="12"/>
      <c r="Q187" s="15"/>
      <c r="R187" s="15"/>
      <c r="S187" s="21"/>
      <c r="T187" s="13"/>
      <c r="U187" s="46"/>
      <c r="V187" s="23"/>
      <c r="W187" s="22" t="str">
        <f t="array" ref="W187">IF(A187="","",IFERROR(INDEX(PARAMETROS!$J$2:$J700,MATCH(H187,PARAMETROS!$E$2:$E700,0)),""))</f>
        <v/>
      </c>
      <c r="X187" s="23" t="str">
        <f t="shared" si="0"/>
        <v/>
      </c>
    </row>
    <row r="188" spans="1:24">
      <c r="A188" s="12"/>
      <c r="B188" s="12"/>
      <c r="C188" s="12"/>
      <c r="D188" s="12"/>
      <c r="E188" s="12"/>
      <c r="F188" s="12"/>
      <c r="G188" s="13"/>
      <c r="H188" s="12"/>
      <c r="I188" s="12"/>
      <c r="J188" s="14"/>
      <c r="K188" s="12"/>
      <c r="L188" s="14"/>
      <c r="M188" s="12"/>
      <c r="N188" s="12"/>
      <c r="O188" s="14"/>
      <c r="P188" s="12"/>
      <c r="Q188" s="15"/>
      <c r="R188" s="15"/>
      <c r="S188" s="21"/>
      <c r="T188" s="13"/>
      <c r="U188" s="46"/>
      <c r="V188" s="23"/>
      <c r="W188" s="22" t="str">
        <f t="array" ref="W188">IF(A188="","",IFERROR(INDEX(PARAMETROS!$J$2:$J700,MATCH(H188,PARAMETROS!$E$2:$E700,0)),""))</f>
        <v/>
      </c>
      <c r="X188" s="23" t="str">
        <f t="shared" si="0"/>
        <v/>
      </c>
    </row>
    <row r="189" spans="1:24">
      <c r="A189" s="12"/>
      <c r="B189" s="12"/>
      <c r="C189" s="12"/>
      <c r="D189" s="12"/>
      <c r="E189" s="12"/>
      <c r="F189" s="12"/>
      <c r="G189" s="13"/>
      <c r="H189" s="12"/>
      <c r="I189" s="12"/>
      <c r="J189" s="14"/>
      <c r="K189" s="12"/>
      <c r="L189" s="14"/>
      <c r="M189" s="12"/>
      <c r="N189" s="12"/>
      <c r="O189" s="14"/>
      <c r="P189" s="12"/>
      <c r="Q189" s="15"/>
      <c r="R189" s="15"/>
      <c r="S189" s="21"/>
      <c r="T189" s="13"/>
      <c r="U189" s="46"/>
      <c r="V189" s="23"/>
      <c r="W189" s="22" t="str">
        <f t="array" ref="W189">IF(A189="","",IFERROR(INDEX(PARAMETROS!$J$2:$J700,MATCH(H189,PARAMETROS!$E$2:$E700,0)),""))</f>
        <v/>
      </c>
      <c r="X189" s="23" t="str">
        <f t="shared" si="0"/>
        <v/>
      </c>
    </row>
    <row r="190" spans="1:24">
      <c r="A190" s="12"/>
      <c r="B190" s="12"/>
      <c r="C190" s="12"/>
      <c r="D190" s="12"/>
      <c r="E190" s="12"/>
      <c r="F190" s="12"/>
      <c r="G190" s="12"/>
      <c r="H190" s="12"/>
      <c r="I190" s="12"/>
      <c r="J190" s="14"/>
      <c r="K190" s="12"/>
      <c r="L190" s="14"/>
      <c r="M190" s="12"/>
      <c r="N190" s="12"/>
      <c r="O190" s="14"/>
      <c r="P190" s="12"/>
      <c r="Q190" s="15"/>
      <c r="R190" s="15"/>
      <c r="S190" s="21"/>
      <c r="T190" s="12"/>
      <c r="U190" s="46"/>
      <c r="V190" s="23"/>
      <c r="W190" s="22" t="str">
        <f t="array" ref="W190">IF(A190="","",IFERROR(INDEX(PARAMETROS!$J$2:$J700,MATCH(H190,PARAMETROS!$E$2:$E700,0)),""))</f>
        <v/>
      </c>
      <c r="X190" s="23" t="str">
        <f t="shared" si="0"/>
        <v/>
      </c>
    </row>
    <row r="191" spans="1:24">
      <c r="A191" s="12"/>
      <c r="B191" s="12"/>
      <c r="C191" s="12"/>
      <c r="D191" s="12"/>
      <c r="E191" s="12"/>
      <c r="F191" s="12"/>
      <c r="G191" s="12"/>
      <c r="H191" s="12"/>
      <c r="I191" s="12"/>
      <c r="J191" s="14"/>
      <c r="K191" s="12"/>
      <c r="L191" s="14"/>
      <c r="M191" s="12"/>
      <c r="N191" s="12"/>
      <c r="O191" s="14"/>
      <c r="P191" s="12"/>
      <c r="Q191" s="15"/>
      <c r="R191" s="15"/>
      <c r="S191" s="21"/>
      <c r="T191" s="12"/>
      <c r="U191" s="46"/>
      <c r="V191" s="23"/>
      <c r="W191" s="22" t="str">
        <f t="array" ref="W191">IF(A191="","",IFERROR(INDEX(PARAMETROS!$J$2:$J700,MATCH(H191,PARAMETROS!$E$2:$E700,0)),""))</f>
        <v/>
      </c>
      <c r="X191" s="23" t="str">
        <f t="shared" si="0"/>
        <v/>
      </c>
    </row>
    <row r="192" spans="1:24">
      <c r="A192" s="12"/>
      <c r="B192" s="12"/>
      <c r="C192" s="12"/>
      <c r="D192" s="12"/>
      <c r="E192" s="12"/>
      <c r="F192" s="12"/>
      <c r="G192" s="12"/>
      <c r="H192" s="12"/>
      <c r="I192" s="12"/>
      <c r="J192" s="14"/>
      <c r="K192" s="12"/>
      <c r="L192" s="14"/>
      <c r="M192" s="12"/>
      <c r="N192" s="12"/>
      <c r="O192" s="14"/>
      <c r="P192" s="12"/>
      <c r="Q192" s="15"/>
      <c r="R192" s="15"/>
      <c r="S192" s="21"/>
      <c r="T192" s="12"/>
      <c r="U192" s="46"/>
      <c r="V192" s="23"/>
      <c r="W192" s="22" t="str">
        <f t="array" ref="W192">IF(A192="","",IFERROR(INDEX(PARAMETROS!$J$2:$J700,MATCH(H192,PARAMETROS!$E$2:$E700,0)),""))</f>
        <v/>
      </c>
      <c r="X192" s="23" t="str">
        <f t="shared" si="0"/>
        <v/>
      </c>
    </row>
    <row r="193" spans="1:24">
      <c r="A193" s="12"/>
      <c r="B193" s="12"/>
      <c r="C193" s="12"/>
      <c r="D193" s="12"/>
      <c r="E193" s="12"/>
      <c r="F193" s="12"/>
      <c r="G193" s="12"/>
      <c r="H193" s="12"/>
      <c r="I193" s="12"/>
      <c r="J193" s="14"/>
      <c r="K193" s="12"/>
      <c r="L193" s="14"/>
      <c r="M193" s="12"/>
      <c r="N193" s="12"/>
      <c r="O193" s="14"/>
      <c r="P193" s="12"/>
      <c r="Q193" s="15"/>
      <c r="R193" s="15"/>
      <c r="S193" s="21"/>
      <c r="T193" s="12"/>
      <c r="U193" s="46"/>
      <c r="V193" s="23"/>
      <c r="W193" s="22" t="str">
        <f t="array" ref="W193">IF(A193="","",IFERROR(INDEX(PARAMETROS!$J$2:$J700,MATCH(H193,PARAMETROS!$E$2:$E700,0)),""))</f>
        <v/>
      </c>
      <c r="X193" s="23" t="str">
        <f t="shared" si="0"/>
        <v/>
      </c>
    </row>
    <row r="194" spans="1:24">
      <c r="A194" s="12"/>
      <c r="B194" s="12"/>
      <c r="C194" s="12"/>
      <c r="D194" s="12"/>
      <c r="E194" s="12"/>
      <c r="F194" s="12"/>
      <c r="G194" s="12"/>
      <c r="H194" s="12"/>
      <c r="I194" s="12"/>
      <c r="J194" s="14"/>
      <c r="K194" s="12"/>
      <c r="L194" s="14"/>
      <c r="M194" s="12"/>
      <c r="N194" s="12"/>
      <c r="O194" s="14"/>
      <c r="P194" s="12"/>
      <c r="Q194" s="15"/>
      <c r="R194" s="15"/>
      <c r="S194" s="21"/>
      <c r="T194" s="12"/>
      <c r="U194" s="46"/>
      <c r="V194" s="23"/>
      <c r="W194" s="22" t="str">
        <f t="array" ref="W194">IF(A194="","",IFERROR(INDEX(PARAMETROS!$J$2:$J700,MATCH(H194,PARAMETROS!$E$2:$E700,0)),""))</f>
        <v/>
      </c>
      <c r="X194" s="23" t="str">
        <f t="shared" si="0"/>
        <v/>
      </c>
    </row>
    <row r="195" spans="1:24">
      <c r="A195" s="12"/>
      <c r="B195" s="12"/>
      <c r="C195" s="12"/>
      <c r="D195" s="12"/>
      <c r="E195" s="12"/>
      <c r="F195" s="12"/>
      <c r="G195" s="12"/>
      <c r="H195" s="12"/>
      <c r="I195" s="12"/>
      <c r="J195" s="14"/>
      <c r="K195" s="12"/>
      <c r="L195" s="14"/>
      <c r="M195" s="12"/>
      <c r="N195" s="12"/>
      <c r="O195" s="14"/>
      <c r="P195" s="12"/>
      <c r="Q195" s="15"/>
      <c r="R195" s="15"/>
      <c r="S195" s="21"/>
      <c r="T195" s="12"/>
      <c r="U195" s="46"/>
      <c r="V195" s="23"/>
      <c r="W195" s="22" t="str">
        <f t="array" ref="W195">IF(A195="","",IFERROR(INDEX(PARAMETROS!$J$2:$J700,MATCH(H195,PARAMETROS!$E$2:$E700,0)),""))</f>
        <v/>
      </c>
      <c r="X195" s="23" t="str">
        <f t="shared" si="0"/>
        <v/>
      </c>
    </row>
    <row r="196" spans="1:24">
      <c r="A196" s="12"/>
      <c r="B196" s="12"/>
      <c r="C196" s="12"/>
      <c r="D196" s="12"/>
      <c r="E196" s="12"/>
      <c r="F196" s="12"/>
      <c r="G196" s="12"/>
      <c r="H196" s="12"/>
      <c r="I196" s="12"/>
      <c r="J196" s="14"/>
      <c r="K196" s="12"/>
      <c r="L196" s="14"/>
      <c r="M196" s="12"/>
      <c r="N196" s="12"/>
      <c r="O196" s="14"/>
      <c r="P196" s="12"/>
      <c r="Q196" s="15"/>
      <c r="R196" s="15"/>
      <c r="S196" s="21"/>
      <c r="T196" s="12"/>
      <c r="U196" s="46"/>
      <c r="V196" s="23"/>
      <c r="W196" s="22" t="str">
        <f t="array" ref="W196">IF(A196="","",IFERROR(INDEX(PARAMETROS!$J$2:$J700,MATCH(H196,PARAMETROS!$E$2:$E700,0)),""))</f>
        <v/>
      </c>
      <c r="X196" s="23" t="str">
        <f t="shared" si="0"/>
        <v/>
      </c>
    </row>
    <row r="197" spans="1:24">
      <c r="A197" s="12"/>
      <c r="B197" s="12"/>
      <c r="C197" s="12"/>
      <c r="D197" s="12"/>
      <c r="E197" s="12"/>
      <c r="F197" s="12"/>
      <c r="G197" s="12"/>
      <c r="H197" s="12"/>
      <c r="I197" s="12"/>
      <c r="J197" s="14"/>
      <c r="K197" s="12"/>
      <c r="L197" s="14"/>
      <c r="M197" s="12"/>
      <c r="N197" s="12"/>
      <c r="O197" s="14"/>
      <c r="P197" s="12"/>
      <c r="Q197" s="15"/>
      <c r="R197" s="15"/>
      <c r="S197" s="21"/>
      <c r="T197" s="12"/>
      <c r="U197" s="46"/>
      <c r="V197" s="23"/>
      <c r="W197" s="22" t="str">
        <f t="array" ref="W197">IF(A197="","",IFERROR(INDEX(PARAMETROS!$J$2:$J700,MATCH(H197,PARAMETROS!$E$2:$E700,0)),""))</f>
        <v/>
      </c>
      <c r="X197" s="23" t="str">
        <f t="shared" si="0"/>
        <v/>
      </c>
    </row>
    <row r="198" spans="1:24">
      <c r="A198" s="12"/>
      <c r="B198" s="12"/>
      <c r="C198" s="12"/>
      <c r="D198" s="12"/>
      <c r="E198" s="12"/>
      <c r="F198" s="12"/>
      <c r="G198" s="12"/>
      <c r="H198" s="12"/>
      <c r="I198" s="12"/>
      <c r="J198" s="14"/>
      <c r="K198" s="12"/>
      <c r="L198" s="14"/>
      <c r="M198" s="12"/>
      <c r="N198" s="12"/>
      <c r="O198" s="14"/>
      <c r="P198" s="12"/>
      <c r="Q198" s="15"/>
      <c r="R198" s="15"/>
      <c r="S198" s="21"/>
      <c r="T198" s="12"/>
      <c r="U198" s="46"/>
      <c r="V198" s="23"/>
      <c r="W198" s="22" t="str">
        <f t="array" ref="W198">IF(A198="","",IFERROR(INDEX(PARAMETROS!$J$2:$J700,MATCH(H198,PARAMETROS!$E$2:$E700,0)),""))</f>
        <v/>
      </c>
      <c r="X198" s="23" t="str">
        <f t="shared" si="0"/>
        <v/>
      </c>
    </row>
    <row r="199" spans="1:24">
      <c r="A199" s="12"/>
      <c r="B199" s="12"/>
      <c r="C199" s="12"/>
      <c r="D199" s="12"/>
      <c r="E199" s="12"/>
      <c r="F199" s="12"/>
      <c r="G199" s="12"/>
      <c r="H199" s="12"/>
      <c r="I199" s="12"/>
      <c r="J199" s="14"/>
      <c r="K199" s="12"/>
      <c r="L199" s="14"/>
      <c r="M199" s="12"/>
      <c r="N199" s="12"/>
      <c r="O199" s="14"/>
      <c r="P199" s="12"/>
      <c r="Q199" s="15"/>
      <c r="R199" s="15"/>
      <c r="S199" s="21"/>
      <c r="T199" s="12"/>
      <c r="U199" s="46"/>
      <c r="V199" s="23"/>
      <c r="W199" s="22" t="str">
        <f t="array" ref="W199">IF(A199="","",IFERROR(INDEX(PARAMETROS!$J$2:$J700,MATCH(H199,PARAMETROS!$E$2:$E700,0)),""))</f>
        <v/>
      </c>
      <c r="X199" s="23" t="str">
        <f t="shared" si="0"/>
        <v/>
      </c>
    </row>
    <row r="200" spans="1:24">
      <c r="A200" s="12"/>
      <c r="B200" s="12"/>
      <c r="C200" s="12"/>
      <c r="D200" s="12"/>
      <c r="E200" s="12"/>
      <c r="F200" s="12"/>
      <c r="G200" s="12"/>
      <c r="H200" s="12"/>
      <c r="I200" s="12"/>
      <c r="J200" s="14"/>
      <c r="K200" s="12"/>
      <c r="L200" s="14"/>
      <c r="M200" s="12"/>
      <c r="N200" s="12"/>
      <c r="O200" s="14"/>
      <c r="P200" s="12"/>
      <c r="Q200" s="15"/>
      <c r="R200" s="15"/>
      <c r="S200" s="21"/>
      <c r="T200" s="12"/>
      <c r="U200" s="46"/>
      <c r="V200" s="23"/>
      <c r="W200" s="22" t="str">
        <f t="array" ref="W200">IF(A200="","",IFERROR(INDEX(PARAMETROS!$J$2:$J700,MATCH(H200,PARAMETROS!$E$2:$E700,0)),""))</f>
        <v/>
      </c>
      <c r="X200" s="23" t="str">
        <f t="shared" si="0"/>
        <v/>
      </c>
    </row>
    <row r="201" spans="1:24">
      <c r="A201" s="12"/>
      <c r="B201" s="12"/>
      <c r="C201" s="12"/>
      <c r="D201" s="12"/>
      <c r="E201" s="12"/>
      <c r="F201" s="12"/>
      <c r="G201" s="12"/>
      <c r="H201" s="12"/>
      <c r="I201" s="12"/>
      <c r="J201" s="14"/>
      <c r="K201" s="12"/>
      <c r="L201" s="14"/>
      <c r="M201" s="12"/>
      <c r="N201" s="12"/>
      <c r="O201" s="14"/>
      <c r="P201" s="12"/>
      <c r="Q201" s="15"/>
      <c r="R201" s="15"/>
      <c r="S201" s="21"/>
      <c r="T201" s="12"/>
      <c r="U201" s="46"/>
      <c r="V201" s="23"/>
      <c r="W201" s="22" t="str">
        <f t="array" ref="W201">IF(A201="","",IFERROR(INDEX(PARAMETROS!$J$2:$J700,MATCH(H201,PARAMETROS!$E$2:$E700,0)),""))</f>
        <v/>
      </c>
      <c r="X201" s="23" t="str">
        <f t="shared" si="0"/>
        <v/>
      </c>
    </row>
    <row r="202" spans="1:24">
      <c r="A202" s="12"/>
      <c r="B202" s="12"/>
      <c r="C202" s="12"/>
      <c r="D202" s="12"/>
      <c r="E202" s="12"/>
      <c r="F202" s="12"/>
      <c r="G202" s="12"/>
      <c r="H202" s="12"/>
      <c r="I202" s="12"/>
      <c r="J202" s="14"/>
      <c r="K202" s="12"/>
      <c r="L202" s="14"/>
      <c r="M202" s="12"/>
      <c r="N202" s="12"/>
      <c r="O202" s="14"/>
      <c r="P202" s="12"/>
      <c r="Q202" s="15"/>
      <c r="R202" s="15"/>
      <c r="S202" s="21"/>
      <c r="T202" s="12"/>
      <c r="U202" s="46"/>
      <c r="V202" s="23"/>
      <c r="W202" s="22" t="str">
        <f t="array" ref="W202">IF(A202="","",IFERROR(INDEX(PARAMETROS!$J$2:$J700,MATCH(H202,PARAMETROS!$E$2:$E700,0)),""))</f>
        <v/>
      </c>
      <c r="X202" s="23" t="str">
        <f t="shared" si="0"/>
        <v/>
      </c>
    </row>
    <row r="203" spans="1:24">
      <c r="A203" s="12"/>
      <c r="B203" s="12"/>
      <c r="C203" s="12"/>
      <c r="D203" s="12"/>
      <c r="E203" s="12"/>
      <c r="F203" s="12"/>
      <c r="G203" s="12"/>
      <c r="H203" s="12"/>
      <c r="I203" s="12"/>
      <c r="J203" s="14"/>
      <c r="K203" s="12"/>
      <c r="L203" s="14"/>
      <c r="M203" s="12"/>
      <c r="N203" s="12"/>
      <c r="O203" s="14"/>
      <c r="P203" s="12"/>
      <c r="Q203" s="15"/>
      <c r="R203" s="15"/>
      <c r="S203" s="21"/>
      <c r="T203" s="12"/>
      <c r="U203" s="46"/>
      <c r="V203" s="23"/>
      <c r="W203" s="22" t="str">
        <f t="array" ref="W203">IF(A203="","",IFERROR(INDEX(PARAMETROS!$J$2:$J700,MATCH(H203,PARAMETROS!$E$2:$E700,0)),""))</f>
        <v/>
      </c>
      <c r="X203" s="23" t="str">
        <f t="shared" si="0"/>
        <v/>
      </c>
    </row>
    <row r="204" spans="1:24">
      <c r="A204" s="12"/>
      <c r="B204" s="12"/>
      <c r="C204" s="12"/>
      <c r="D204" s="12"/>
      <c r="E204" s="12"/>
      <c r="F204" s="12"/>
      <c r="G204" s="12"/>
      <c r="H204" s="12"/>
      <c r="I204" s="12"/>
      <c r="J204" s="14"/>
      <c r="K204" s="12"/>
      <c r="L204" s="14"/>
      <c r="M204" s="12"/>
      <c r="N204" s="12"/>
      <c r="O204" s="14"/>
      <c r="P204" s="12"/>
      <c r="Q204" s="15"/>
      <c r="R204" s="15"/>
      <c r="S204" s="21"/>
      <c r="T204" s="12"/>
      <c r="U204" s="46"/>
      <c r="V204" s="23"/>
      <c r="W204" s="22" t="str">
        <f t="array" ref="W204">IF(A204="","",IFERROR(INDEX(PARAMETROS!$J$2:$J700,MATCH(H204,PARAMETROS!$E$2:$E700,0)),""))</f>
        <v/>
      </c>
      <c r="X204" s="23" t="str">
        <f t="shared" si="0"/>
        <v/>
      </c>
    </row>
    <row r="205" spans="1:24">
      <c r="A205" s="12"/>
      <c r="B205" s="12"/>
      <c r="C205" s="12"/>
      <c r="D205" s="12"/>
      <c r="E205" s="12"/>
      <c r="F205" s="12"/>
      <c r="G205" s="12"/>
      <c r="H205" s="12"/>
      <c r="I205" s="12"/>
      <c r="J205" s="14"/>
      <c r="K205" s="12"/>
      <c r="L205" s="14"/>
      <c r="M205" s="12"/>
      <c r="N205" s="12"/>
      <c r="O205" s="14"/>
      <c r="P205" s="12"/>
      <c r="Q205" s="15"/>
      <c r="R205" s="15"/>
      <c r="S205" s="21"/>
      <c r="T205" s="12"/>
      <c r="U205" s="46"/>
      <c r="V205" s="23"/>
      <c r="W205" s="22" t="str">
        <f t="array" ref="W205">IF(A205="","",IFERROR(INDEX(PARAMETROS!$J$2:$J700,MATCH(H205,PARAMETROS!$E$2:$E700,0)),""))</f>
        <v/>
      </c>
      <c r="X205" s="23" t="str">
        <f t="shared" si="0"/>
        <v/>
      </c>
    </row>
    <row r="206" spans="1:24">
      <c r="A206" s="12"/>
      <c r="B206" s="12"/>
      <c r="C206" s="12"/>
      <c r="D206" s="12"/>
      <c r="E206" s="12"/>
      <c r="F206" s="12"/>
      <c r="G206" s="12"/>
      <c r="H206" s="12"/>
      <c r="I206" s="12"/>
      <c r="J206" s="14"/>
      <c r="K206" s="12"/>
      <c r="L206" s="14"/>
      <c r="M206" s="12"/>
      <c r="N206" s="12"/>
      <c r="O206" s="14"/>
      <c r="P206" s="12"/>
      <c r="Q206" s="15"/>
      <c r="R206" s="15"/>
      <c r="S206" s="21"/>
      <c r="T206" s="12"/>
      <c r="U206" s="46"/>
      <c r="V206" s="23"/>
      <c r="W206" s="22" t="str">
        <f t="array" ref="W206">IF(A206="","",IFERROR(INDEX(PARAMETROS!$J$2:$J700,MATCH(H206,PARAMETROS!$E$2:$E700,0)),""))</f>
        <v/>
      </c>
      <c r="X206" s="23" t="str">
        <f t="shared" si="0"/>
        <v/>
      </c>
    </row>
    <row r="207" spans="1:24">
      <c r="A207" s="12"/>
      <c r="B207" s="12"/>
      <c r="C207" s="12"/>
      <c r="D207" s="12"/>
      <c r="E207" s="12"/>
      <c r="F207" s="12"/>
      <c r="G207" s="12"/>
      <c r="H207" s="12"/>
      <c r="I207" s="12"/>
      <c r="J207" s="14"/>
      <c r="K207" s="12"/>
      <c r="L207" s="14"/>
      <c r="M207" s="12"/>
      <c r="N207" s="12"/>
      <c r="O207" s="14"/>
      <c r="P207" s="12"/>
      <c r="Q207" s="15"/>
      <c r="R207" s="15"/>
      <c r="S207" s="21"/>
      <c r="T207" s="12"/>
      <c r="U207" s="46"/>
      <c r="V207" s="23"/>
      <c r="W207" s="22" t="str">
        <f t="array" ref="W207">IF(A207="","",IFERROR(INDEX(PARAMETROS!$J$2:$J700,MATCH(H207,PARAMETROS!$E$2:$E700,0)),""))</f>
        <v/>
      </c>
      <c r="X207" s="23" t="str">
        <f t="shared" si="0"/>
        <v/>
      </c>
    </row>
    <row r="208" spans="1:24">
      <c r="A208" s="12"/>
      <c r="B208" s="12"/>
      <c r="C208" s="12"/>
      <c r="D208" s="12"/>
      <c r="E208" s="12"/>
      <c r="F208" s="12"/>
      <c r="G208" s="12"/>
      <c r="H208" s="12"/>
      <c r="I208" s="12"/>
      <c r="J208" s="14"/>
      <c r="K208" s="12"/>
      <c r="L208" s="14"/>
      <c r="M208" s="12"/>
      <c r="N208" s="12"/>
      <c r="O208" s="14"/>
      <c r="P208" s="12"/>
      <c r="Q208" s="15"/>
      <c r="R208" s="15"/>
      <c r="S208" s="21"/>
      <c r="T208" s="12"/>
      <c r="U208" s="46"/>
      <c r="V208" s="23"/>
      <c r="W208" s="22" t="str">
        <f t="array" ref="W208">IF(A208="","",IFERROR(INDEX(PARAMETROS!$J$2:$J700,MATCH(H208,PARAMETROS!$E$2:$E700,0)),""))</f>
        <v/>
      </c>
      <c r="X208" s="23" t="str">
        <f t="shared" si="0"/>
        <v/>
      </c>
    </row>
    <row r="209" spans="1:24">
      <c r="A209" s="12"/>
      <c r="B209" s="12"/>
      <c r="C209" s="12"/>
      <c r="D209" s="12"/>
      <c r="E209" s="12"/>
      <c r="F209" s="12"/>
      <c r="G209" s="12"/>
      <c r="H209" s="12"/>
      <c r="I209" s="12"/>
      <c r="J209" s="14"/>
      <c r="K209" s="12"/>
      <c r="L209" s="14"/>
      <c r="M209" s="12"/>
      <c r="N209" s="12"/>
      <c r="O209" s="14"/>
      <c r="P209" s="12"/>
      <c r="Q209" s="15"/>
      <c r="R209" s="15"/>
      <c r="S209" s="21"/>
      <c r="T209" s="12"/>
      <c r="U209" s="46"/>
      <c r="V209" s="23"/>
      <c r="W209" s="22" t="str">
        <f t="array" ref="W209">IF(A209="","",IFERROR(INDEX(PARAMETROS!$J$2:$J700,MATCH(H209,PARAMETROS!$E$2:$E700,0)),""))</f>
        <v/>
      </c>
      <c r="X209" s="23" t="str">
        <f t="shared" si="0"/>
        <v/>
      </c>
    </row>
    <row r="210" spans="1:24">
      <c r="A210" s="12"/>
      <c r="B210" s="12"/>
      <c r="C210" s="12"/>
      <c r="D210" s="12"/>
      <c r="E210" s="12"/>
      <c r="F210" s="12"/>
      <c r="G210" s="12"/>
      <c r="H210" s="12"/>
      <c r="I210" s="12"/>
      <c r="J210" s="14"/>
      <c r="K210" s="12"/>
      <c r="L210" s="14"/>
      <c r="M210" s="12"/>
      <c r="N210" s="12"/>
      <c r="O210" s="14"/>
      <c r="P210" s="12"/>
      <c r="Q210" s="15"/>
      <c r="R210" s="15"/>
      <c r="S210" s="21"/>
      <c r="T210" s="12"/>
      <c r="U210" s="46"/>
      <c r="V210" s="23"/>
      <c r="W210" s="22" t="str">
        <f t="array" ref="W210">IF(A210="","",IFERROR(INDEX(PARAMETROS!$J$2:$J700,MATCH(H210,PARAMETROS!$E$2:$E700,0)),""))</f>
        <v/>
      </c>
      <c r="X210" s="23" t="str">
        <f t="shared" si="0"/>
        <v/>
      </c>
    </row>
    <row r="211" spans="1:24">
      <c r="A211" s="12"/>
      <c r="B211" s="12"/>
      <c r="C211" s="12"/>
      <c r="D211" s="12"/>
      <c r="E211" s="12"/>
      <c r="F211" s="12"/>
      <c r="G211" s="12"/>
      <c r="H211" s="12"/>
      <c r="I211" s="12"/>
      <c r="J211" s="14"/>
      <c r="K211" s="12"/>
      <c r="L211" s="14"/>
      <c r="M211" s="12"/>
      <c r="N211" s="12"/>
      <c r="O211" s="14"/>
      <c r="P211" s="12"/>
      <c r="Q211" s="15"/>
      <c r="R211" s="15"/>
      <c r="S211" s="21"/>
      <c r="T211" s="12"/>
      <c r="U211" s="46"/>
      <c r="V211" s="23"/>
      <c r="W211" s="22" t="str">
        <f t="array" ref="W211">IF(A211="","",IFERROR(INDEX(PARAMETROS!$J$2:$J700,MATCH(H211,PARAMETROS!$E$2:$E700,0)),""))</f>
        <v/>
      </c>
      <c r="X211" s="23" t="str">
        <f t="shared" si="0"/>
        <v/>
      </c>
    </row>
    <row r="212" spans="1:24">
      <c r="A212" s="12"/>
      <c r="B212" s="12"/>
      <c r="C212" s="12"/>
      <c r="D212" s="12"/>
      <c r="E212" s="12"/>
      <c r="F212" s="12"/>
      <c r="G212" s="12"/>
      <c r="H212" s="12"/>
      <c r="I212" s="12"/>
      <c r="J212" s="14"/>
      <c r="K212" s="12"/>
      <c r="L212" s="14"/>
      <c r="M212" s="12"/>
      <c r="N212" s="12"/>
      <c r="O212" s="14"/>
      <c r="P212" s="12"/>
      <c r="Q212" s="15"/>
      <c r="R212" s="15"/>
      <c r="S212" s="21"/>
      <c r="T212" s="12"/>
      <c r="U212" s="46"/>
      <c r="V212" s="23"/>
      <c r="W212" s="22" t="str">
        <f t="array" ref="W212">IF(A212="","",IFERROR(INDEX(PARAMETROS!$J$2:$J700,MATCH(H212,PARAMETROS!$E$2:$E700,0)),""))</f>
        <v/>
      </c>
      <c r="X212" s="23" t="str">
        <f t="shared" si="0"/>
        <v/>
      </c>
    </row>
    <row r="213" spans="1:24">
      <c r="A213" s="12"/>
      <c r="B213" s="12"/>
      <c r="C213" s="12"/>
      <c r="D213" s="12"/>
      <c r="E213" s="12"/>
      <c r="F213" s="12"/>
      <c r="G213" s="12"/>
      <c r="H213" s="12"/>
      <c r="I213" s="12"/>
      <c r="J213" s="14"/>
      <c r="K213" s="12"/>
      <c r="L213" s="14"/>
      <c r="M213" s="12"/>
      <c r="N213" s="12"/>
      <c r="O213" s="14"/>
      <c r="P213" s="12"/>
      <c r="Q213" s="15"/>
      <c r="R213" s="15"/>
      <c r="S213" s="21"/>
      <c r="T213" s="12"/>
      <c r="U213" s="46"/>
      <c r="V213" s="23"/>
      <c r="W213" s="22" t="str">
        <f t="array" ref="W213">IF(A213="","",IFERROR(INDEX(PARAMETROS!$J$2:$J700,MATCH(H213,PARAMETROS!$E$2:$E700,0)),""))</f>
        <v/>
      </c>
      <c r="X213" s="23" t="str">
        <f t="shared" si="0"/>
        <v/>
      </c>
    </row>
    <row r="214" spans="1:24">
      <c r="A214" s="12"/>
      <c r="B214" s="12"/>
      <c r="C214" s="12"/>
      <c r="D214" s="12"/>
      <c r="E214" s="12"/>
      <c r="F214" s="12"/>
      <c r="G214" s="12"/>
      <c r="H214" s="12"/>
      <c r="I214" s="12"/>
      <c r="J214" s="14"/>
      <c r="K214" s="12"/>
      <c r="L214" s="14"/>
      <c r="M214" s="12"/>
      <c r="N214" s="12"/>
      <c r="O214" s="14"/>
      <c r="P214" s="12"/>
      <c r="Q214" s="15"/>
      <c r="R214" s="15"/>
      <c r="S214" s="21"/>
      <c r="T214" s="12"/>
      <c r="U214" s="46"/>
      <c r="V214" s="23"/>
      <c r="W214" s="22" t="str">
        <f t="array" ref="W214">IF(A214="","",IFERROR(INDEX(PARAMETROS!$J$2:$J700,MATCH(H214,PARAMETROS!$E$2:$E700,0)),""))</f>
        <v/>
      </c>
      <c r="X214" s="23" t="str">
        <f t="shared" si="0"/>
        <v/>
      </c>
    </row>
    <row r="215" spans="1:24">
      <c r="A215" s="12"/>
      <c r="B215" s="12"/>
      <c r="C215" s="12"/>
      <c r="D215" s="12"/>
      <c r="E215" s="12"/>
      <c r="F215" s="12"/>
      <c r="G215" s="12"/>
      <c r="H215" s="12"/>
      <c r="I215" s="12"/>
      <c r="J215" s="14"/>
      <c r="K215" s="12"/>
      <c r="L215" s="14"/>
      <c r="M215" s="12"/>
      <c r="N215" s="12"/>
      <c r="O215" s="14"/>
      <c r="P215" s="12"/>
      <c r="Q215" s="15"/>
      <c r="R215" s="15"/>
      <c r="S215" s="21"/>
      <c r="T215" s="12"/>
      <c r="U215" s="46"/>
      <c r="V215" s="23"/>
      <c r="W215" s="22" t="str">
        <f t="array" ref="W215">IF(A215="","",IFERROR(INDEX(PARAMETROS!$J$2:$J700,MATCH(H215,PARAMETROS!$E$2:$E700,0)),""))</f>
        <v/>
      </c>
      <c r="X215" s="23" t="str">
        <f t="shared" si="0"/>
        <v/>
      </c>
    </row>
    <row r="216" spans="1:24">
      <c r="A216" s="12"/>
      <c r="B216" s="12"/>
      <c r="C216" s="12"/>
      <c r="D216" s="12"/>
      <c r="E216" s="12"/>
      <c r="F216" s="12"/>
      <c r="G216" s="12"/>
      <c r="H216" s="12"/>
      <c r="I216" s="12"/>
      <c r="J216" s="14"/>
      <c r="K216" s="12"/>
      <c r="L216" s="14"/>
      <c r="M216" s="12"/>
      <c r="N216" s="12"/>
      <c r="O216" s="14"/>
      <c r="P216" s="12"/>
      <c r="Q216" s="15"/>
      <c r="R216" s="15"/>
      <c r="S216" s="21"/>
      <c r="T216" s="12"/>
      <c r="U216" s="46"/>
      <c r="V216" s="23"/>
      <c r="W216" s="22" t="str">
        <f t="array" ref="W216">IF(A216="","",IFERROR(INDEX(PARAMETROS!$J$2:$J700,MATCH(H216,PARAMETROS!$E$2:$E700,0)),""))</f>
        <v/>
      </c>
      <c r="X216" s="23" t="str">
        <f t="shared" si="0"/>
        <v/>
      </c>
    </row>
    <row r="217" spans="1:24">
      <c r="A217" s="12"/>
      <c r="B217" s="12"/>
      <c r="C217" s="12"/>
      <c r="D217" s="12"/>
      <c r="E217" s="12"/>
      <c r="F217" s="12"/>
      <c r="G217" s="12"/>
      <c r="H217" s="12"/>
      <c r="I217" s="12"/>
      <c r="J217" s="14"/>
      <c r="K217" s="12"/>
      <c r="L217" s="14"/>
      <c r="M217" s="12"/>
      <c r="N217" s="12"/>
      <c r="O217" s="14"/>
      <c r="P217" s="12"/>
      <c r="Q217" s="15"/>
      <c r="R217" s="15"/>
      <c r="S217" s="21"/>
      <c r="T217" s="12"/>
      <c r="U217" s="46"/>
      <c r="V217" s="23"/>
      <c r="W217" s="22" t="str">
        <f t="array" ref="W217">IF(A217="","",IFERROR(INDEX(PARAMETROS!$J$2:$J700,MATCH(H217,PARAMETROS!$E$2:$E700,0)),""))</f>
        <v/>
      </c>
      <c r="X217" s="23" t="str">
        <f t="shared" si="0"/>
        <v/>
      </c>
    </row>
    <row r="218" spans="1:24">
      <c r="A218" s="12"/>
      <c r="B218" s="12"/>
      <c r="C218" s="12"/>
      <c r="D218" s="12"/>
      <c r="E218" s="12"/>
      <c r="F218" s="12"/>
      <c r="G218" s="12"/>
      <c r="H218" s="12"/>
      <c r="I218" s="12"/>
      <c r="J218" s="14"/>
      <c r="K218" s="12"/>
      <c r="L218" s="14"/>
      <c r="M218" s="12"/>
      <c r="N218" s="12"/>
      <c r="O218" s="14"/>
      <c r="P218" s="12"/>
      <c r="Q218" s="15"/>
      <c r="R218" s="15"/>
      <c r="S218" s="21"/>
      <c r="T218" s="12"/>
      <c r="U218" s="46"/>
      <c r="V218" s="23"/>
      <c r="W218" s="22" t="str">
        <f t="array" ref="W218">IF(A218="","",IFERROR(INDEX(PARAMETROS!$J$2:$J700,MATCH(H218,PARAMETROS!$E$2:$E700,0)),""))</f>
        <v/>
      </c>
      <c r="X218" s="23" t="str">
        <f t="shared" si="0"/>
        <v/>
      </c>
    </row>
    <row r="219" spans="1:24">
      <c r="A219" s="12"/>
      <c r="B219" s="12"/>
      <c r="C219" s="12"/>
      <c r="D219" s="12"/>
      <c r="E219" s="12"/>
      <c r="F219" s="12"/>
      <c r="G219" s="12"/>
      <c r="H219" s="12"/>
      <c r="I219" s="12"/>
      <c r="J219" s="14"/>
      <c r="K219" s="12"/>
      <c r="L219" s="14"/>
      <c r="M219" s="12"/>
      <c r="N219" s="12"/>
      <c r="O219" s="14"/>
      <c r="P219" s="12"/>
      <c r="Q219" s="15"/>
      <c r="R219" s="15"/>
      <c r="S219" s="21"/>
      <c r="T219" s="12"/>
      <c r="U219" s="46"/>
      <c r="V219" s="23"/>
      <c r="W219" s="22" t="str">
        <f t="array" ref="W219">IF(A219="","",IFERROR(INDEX(PARAMETROS!$J$2:$J700,MATCH(H219,PARAMETROS!$E$2:$E700,0)),""))</f>
        <v/>
      </c>
      <c r="X219" s="23" t="str">
        <f t="shared" si="0"/>
        <v/>
      </c>
    </row>
    <row r="220" spans="1:24">
      <c r="A220" s="12"/>
      <c r="B220" s="12"/>
      <c r="C220" s="12"/>
      <c r="D220" s="12"/>
      <c r="E220" s="12"/>
      <c r="F220" s="12"/>
      <c r="G220" s="12"/>
      <c r="H220" s="12"/>
      <c r="I220" s="12"/>
      <c r="J220" s="14"/>
      <c r="K220" s="12"/>
      <c r="L220" s="14"/>
      <c r="M220" s="12"/>
      <c r="N220" s="12"/>
      <c r="O220" s="14"/>
      <c r="P220" s="12"/>
      <c r="Q220" s="15"/>
      <c r="R220" s="15"/>
      <c r="S220" s="21"/>
      <c r="T220" s="12"/>
      <c r="U220" s="46"/>
      <c r="V220" s="23"/>
      <c r="W220" s="22" t="str">
        <f t="array" ref="W220">IF(A220="","",IFERROR(INDEX(PARAMETROS!$J$2:$J700,MATCH(H220,PARAMETROS!$E$2:$E700,0)),""))</f>
        <v/>
      </c>
      <c r="X220" s="23" t="str">
        <f t="shared" si="0"/>
        <v/>
      </c>
    </row>
    <row r="221" spans="1:24">
      <c r="A221" s="12"/>
      <c r="B221" s="12"/>
      <c r="C221" s="12"/>
      <c r="D221" s="12"/>
      <c r="E221" s="12"/>
      <c r="F221" s="12"/>
      <c r="G221" s="12"/>
      <c r="H221" s="12"/>
      <c r="I221" s="12"/>
      <c r="J221" s="14"/>
      <c r="K221" s="12"/>
      <c r="L221" s="14"/>
      <c r="M221" s="12"/>
      <c r="N221" s="12"/>
      <c r="O221" s="14"/>
      <c r="P221" s="12"/>
      <c r="Q221" s="15"/>
      <c r="R221" s="15"/>
      <c r="S221" s="21"/>
      <c r="T221" s="12"/>
      <c r="U221" s="46"/>
      <c r="V221" s="23"/>
      <c r="W221" s="22" t="str">
        <f t="array" ref="W221">IF(A221="","",IFERROR(INDEX(PARAMETROS!$J$2:$J700,MATCH(H221,PARAMETROS!$E$2:$E700,0)),""))</f>
        <v/>
      </c>
      <c r="X221" s="23" t="str">
        <f t="shared" si="0"/>
        <v/>
      </c>
    </row>
    <row r="222" spans="1:24">
      <c r="A222" s="12"/>
      <c r="B222" s="12"/>
      <c r="C222" s="12"/>
      <c r="D222" s="12"/>
      <c r="E222" s="12"/>
      <c r="F222" s="12"/>
      <c r="G222" s="12"/>
      <c r="H222" s="12"/>
      <c r="I222" s="12"/>
      <c r="J222" s="14"/>
      <c r="K222" s="12"/>
      <c r="L222" s="14"/>
      <c r="M222" s="12"/>
      <c r="N222" s="12"/>
      <c r="O222" s="14"/>
      <c r="P222" s="12"/>
      <c r="Q222" s="15"/>
      <c r="R222" s="15"/>
      <c r="S222" s="21"/>
      <c r="T222" s="12"/>
      <c r="U222" s="46"/>
      <c r="V222" s="23"/>
      <c r="W222" s="22" t="str">
        <f t="array" ref="W222">IF(A222="","",IFERROR(INDEX(PARAMETROS!$J$2:$J700,MATCH(H222,PARAMETROS!$E$2:$E700,0)),""))</f>
        <v/>
      </c>
      <c r="X222" s="23" t="str">
        <f t="shared" si="0"/>
        <v/>
      </c>
    </row>
    <row r="223" spans="1:24">
      <c r="A223" s="12"/>
      <c r="B223" s="12"/>
      <c r="C223" s="12"/>
      <c r="D223" s="12"/>
      <c r="E223" s="12"/>
      <c r="F223" s="12"/>
      <c r="G223" s="12"/>
      <c r="H223" s="12"/>
      <c r="I223" s="12"/>
      <c r="J223" s="14"/>
      <c r="K223" s="12"/>
      <c r="L223" s="14"/>
      <c r="M223" s="12"/>
      <c r="N223" s="12"/>
      <c r="O223" s="14"/>
      <c r="P223" s="12"/>
      <c r="Q223" s="15"/>
      <c r="R223" s="15"/>
      <c r="S223" s="21"/>
      <c r="T223" s="12"/>
      <c r="U223" s="46"/>
      <c r="V223" s="23"/>
      <c r="W223" s="22" t="str">
        <f t="array" ref="W223">IF(A223="","",IFERROR(INDEX(PARAMETROS!$J$2:$J700,MATCH(H223,PARAMETROS!$E$2:$E700,0)),""))</f>
        <v/>
      </c>
      <c r="X223" s="23" t="str">
        <f t="shared" si="0"/>
        <v/>
      </c>
    </row>
    <row r="224" spans="1:24">
      <c r="A224" s="12"/>
      <c r="B224" s="12"/>
      <c r="C224" s="12"/>
      <c r="D224" s="12"/>
      <c r="E224" s="12"/>
      <c r="F224" s="12"/>
      <c r="G224" s="12"/>
      <c r="H224" s="12"/>
      <c r="I224" s="12"/>
      <c r="J224" s="14"/>
      <c r="K224" s="12"/>
      <c r="L224" s="14"/>
      <c r="M224" s="12"/>
      <c r="N224" s="12"/>
      <c r="O224" s="14"/>
      <c r="P224" s="12"/>
      <c r="Q224" s="15"/>
      <c r="R224" s="15"/>
      <c r="S224" s="21"/>
      <c r="T224" s="12"/>
      <c r="U224" s="46"/>
      <c r="V224" s="23"/>
      <c r="W224" s="22" t="str">
        <f t="array" ref="W224">IF(A224="","",IFERROR(INDEX(PARAMETROS!$J$2:$J700,MATCH(H224,PARAMETROS!$E$2:$E700,0)),""))</f>
        <v/>
      </c>
      <c r="X224" s="23" t="str">
        <f t="shared" si="0"/>
        <v/>
      </c>
    </row>
    <row r="225" spans="1:24">
      <c r="A225" s="12"/>
      <c r="B225" s="12"/>
      <c r="C225" s="12"/>
      <c r="D225" s="12"/>
      <c r="E225" s="12"/>
      <c r="F225" s="12"/>
      <c r="G225" s="12"/>
      <c r="H225" s="12"/>
      <c r="I225" s="12"/>
      <c r="J225" s="14"/>
      <c r="K225" s="12"/>
      <c r="L225" s="14"/>
      <c r="M225" s="12"/>
      <c r="N225" s="12"/>
      <c r="O225" s="14"/>
      <c r="P225" s="12"/>
      <c r="Q225" s="15"/>
      <c r="R225" s="15"/>
      <c r="S225" s="21"/>
      <c r="T225" s="12"/>
      <c r="U225" s="46"/>
      <c r="V225" s="23"/>
      <c r="W225" s="22" t="str">
        <f t="array" ref="W225">IF(A225="","",IFERROR(INDEX(PARAMETROS!$J$2:$J700,MATCH(H225,PARAMETROS!$E$2:$E700,0)),""))</f>
        <v/>
      </c>
      <c r="X225" s="23" t="str">
        <f t="shared" si="0"/>
        <v/>
      </c>
    </row>
    <row r="226" spans="1:24">
      <c r="A226" s="12"/>
      <c r="B226" s="12"/>
      <c r="C226" s="12"/>
      <c r="D226" s="12"/>
      <c r="E226" s="12"/>
      <c r="F226" s="12"/>
      <c r="G226" s="12"/>
      <c r="H226" s="12"/>
      <c r="I226" s="12"/>
      <c r="J226" s="14"/>
      <c r="K226" s="12"/>
      <c r="L226" s="14"/>
      <c r="M226" s="12"/>
      <c r="N226" s="12"/>
      <c r="O226" s="14"/>
      <c r="P226" s="12"/>
      <c r="Q226" s="15"/>
      <c r="R226" s="15"/>
      <c r="S226" s="21"/>
      <c r="T226" s="12"/>
      <c r="U226" s="46"/>
      <c r="V226" s="23"/>
      <c r="W226" s="22" t="str">
        <f t="array" ref="W226">IF(A226="","",IFERROR(INDEX(PARAMETROS!$J$2:$J700,MATCH(H226,PARAMETROS!$E$2:$E700,0)),""))</f>
        <v/>
      </c>
      <c r="X226" s="23" t="str">
        <f t="shared" si="0"/>
        <v/>
      </c>
    </row>
    <row r="227" spans="1:24">
      <c r="A227" s="12"/>
      <c r="B227" s="12"/>
      <c r="C227" s="12"/>
      <c r="D227" s="12"/>
      <c r="E227" s="12"/>
      <c r="F227" s="12"/>
      <c r="G227" s="12"/>
      <c r="H227" s="12"/>
      <c r="I227" s="12"/>
      <c r="J227" s="14"/>
      <c r="K227" s="12"/>
      <c r="L227" s="14"/>
      <c r="M227" s="12"/>
      <c r="N227" s="12"/>
      <c r="O227" s="14"/>
      <c r="P227" s="12"/>
      <c r="Q227" s="15"/>
      <c r="R227" s="15"/>
      <c r="S227" s="21"/>
      <c r="T227" s="12"/>
      <c r="U227" s="46"/>
      <c r="V227" s="23"/>
      <c r="W227" s="22" t="str">
        <f t="array" ref="W227">IF(A227="","",IFERROR(INDEX(PARAMETROS!$J$2:$J700,MATCH(H227,PARAMETROS!$E$2:$E700,0)),""))</f>
        <v/>
      </c>
      <c r="X227" s="23" t="str">
        <f t="shared" si="0"/>
        <v/>
      </c>
    </row>
    <row r="228" spans="1:24">
      <c r="A228" s="12"/>
      <c r="B228" s="12"/>
      <c r="C228" s="12"/>
      <c r="D228" s="12"/>
      <c r="E228" s="12"/>
      <c r="F228" s="12"/>
      <c r="G228" s="12"/>
      <c r="H228" s="12"/>
      <c r="I228" s="12"/>
      <c r="J228" s="14"/>
      <c r="K228" s="12"/>
      <c r="L228" s="14"/>
      <c r="M228" s="12"/>
      <c r="N228" s="12"/>
      <c r="O228" s="14"/>
      <c r="P228" s="12"/>
      <c r="Q228" s="15"/>
      <c r="R228" s="15"/>
      <c r="S228" s="21"/>
      <c r="T228" s="12"/>
      <c r="U228" s="46"/>
      <c r="V228" s="23"/>
      <c r="W228" s="22" t="str">
        <f t="array" ref="W228">IF(A228="","",IFERROR(INDEX(PARAMETROS!$J$2:$J700,MATCH(H228,PARAMETROS!$E$2:$E700,0)),""))</f>
        <v/>
      </c>
      <c r="X228" s="23" t="str">
        <f t="shared" si="0"/>
        <v/>
      </c>
    </row>
    <row r="229" spans="1:24">
      <c r="A229" s="12"/>
      <c r="B229" s="12"/>
      <c r="C229" s="12"/>
      <c r="D229" s="12"/>
      <c r="E229" s="12"/>
      <c r="F229" s="12"/>
      <c r="G229" s="12"/>
      <c r="H229" s="12"/>
      <c r="I229" s="12"/>
      <c r="J229" s="14"/>
      <c r="K229" s="12"/>
      <c r="L229" s="14"/>
      <c r="M229" s="12"/>
      <c r="N229" s="12"/>
      <c r="O229" s="14"/>
      <c r="P229" s="12"/>
      <c r="Q229" s="15"/>
      <c r="R229" s="15"/>
      <c r="S229" s="21"/>
      <c r="T229" s="12"/>
      <c r="U229" s="46"/>
      <c r="V229" s="23"/>
      <c r="W229" s="22" t="str">
        <f t="array" ref="W229">IF(A229="","",IFERROR(INDEX(PARAMETROS!$J$2:$J700,MATCH(H229,PARAMETROS!$E$2:$E700,0)),""))</f>
        <v/>
      </c>
      <c r="X229" s="23" t="str">
        <f t="shared" si="0"/>
        <v/>
      </c>
    </row>
    <row r="230" spans="1:24">
      <c r="A230" s="12"/>
      <c r="B230" s="12"/>
      <c r="C230" s="12"/>
      <c r="D230" s="12"/>
      <c r="E230" s="12"/>
      <c r="F230" s="12"/>
      <c r="G230" s="12"/>
      <c r="H230" s="12"/>
      <c r="I230" s="12"/>
      <c r="J230" s="14"/>
      <c r="K230" s="12"/>
      <c r="L230" s="14"/>
      <c r="M230" s="12"/>
      <c r="N230" s="12"/>
      <c r="O230" s="14"/>
      <c r="P230" s="12"/>
      <c r="Q230" s="15"/>
      <c r="R230" s="15"/>
      <c r="S230" s="21"/>
      <c r="T230" s="12"/>
      <c r="U230" s="46"/>
      <c r="V230" s="23"/>
      <c r="W230" s="22" t="str">
        <f t="array" ref="W230">IF(A230="","",IFERROR(INDEX(PARAMETROS!$J$2:$J700,MATCH(H230,PARAMETROS!$E$2:$E700,0)),""))</f>
        <v/>
      </c>
      <c r="X230" s="23" t="str">
        <f t="shared" si="0"/>
        <v/>
      </c>
    </row>
    <row r="231" spans="1:24">
      <c r="A231" s="12"/>
      <c r="B231" s="12"/>
      <c r="C231" s="12"/>
      <c r="D231" s="12"/>
      <c r="E231" s="12"/>
      <c r="F231" s="12"/>
      <c r="G231" s="12"/>
      <c r="H231" s="12"/>
      <c r="I231" s="12"/>
      <c r="J231" s="14"/>
      <c r="K231" s="12"/>
      <c r="L231" s="14"/>
      <c r="M231" s="12"/>
      <c r="N231" s="12"/>
      <c r="O231" s="14"/>
      <c r="P231" s="12"/>
      <c r="Q231" s="15"/>
      <c r="R231" s="15"/>
      <c r="S231" s="21"/>
      <c r="T231" s="12"/>
      <c r="U231" s="46"/>
      <c r="V231" s="23"/>
      <c r="W231" s="22" t="str">
        <f t="array" ref="W231">IF(A231="","",IFERROR(INDEX(PARAMETROS!$J$2:$J700,MATCH(H231,PARAMETROS!$E$2:$E700,0)),""))</f>
        <v/>
      </c>
      <c r="X231" s="23" t="str">
        <f t="shared" si="0"/>
        <v/>
      </c>
    </row>
    <row r="232" spans="1:24">
      <c r="A232" s="12"/>
      <c r="B232" s="12"/>
      <c r="C232" s="12"/>
      <c r="D232" s="12"/>
      <c r="E232" s="12"/>
      <c r="F232" s="12"/>
      <c r="G232" s="12"/>
      <c r="H232" s="12"/>
      <c r="I232" s="12"/>
      <c r="J232" s="14"/>
      <c r="K232" s="12"/>
      <c r="L232" s="14"/>
      <c r="M232" s="12"/>
      <c r="N232" s="12"/>
      <c r="O232" s="14"/>
      <c r="P232" s="12"/>
      <c r="Q232" s="15"/>
      <c r="R232" s="15"/>
      <c r="S232" s="21"/>
      <c r="T232" s="12"/>
      <c r="U232" s="46"/>
      <c r="V232" s="23"/>
      <c r="W232" s="22" t="str">
        <f t="array" ref="W232">IF(A232="","",IFERROR(INDEX(PARAMETROS!$J$2:$J700,MATCH(H232,PARAMETROS!$E$2:$E700,0)),""))</f>
        <v/>
      </c>
      <c r="X232" s="23" t="str">
        <f t="shared" si="0"/>
        <v/>
      </c>
    </row>
    <row r="233" spans="1:24">
      <c r="A233" s="12"/>
      <c r="B233" s="12"/>
      <c r="C233" s="12"/>
      <c r="D233" s="12"/>
      <c r="E233" s="12"/>
      <c r="F233" s="12"/>
      <c r="G233" s="12"/>
      <c r="H233" s="12"/>
      <c r="I233" s="12"/>
      <c r="J233" s="14"/>
      <c r="K233" s="12"/>
      <c r="L233" s="14"/>
      <c r="M233" s="12"/>
      <c r="N233" s="12"/>
      <c r="O233" s="14"/>
      <c r="P233" s="12"/>
      <c r="Q233" s="15"/>
      <c r="R233" s="15"/>
      <c r="S233" s="21"/>
      <c r="T233" s="12"/>
      <c r="U233" s="46"/>
      <c r="V233" s="23"/>
      <c r="W233" s="22" t="str">
        <f t="array" ref="W233">IF(A233="","",IFERROR(INDEX(PARAMETROS!$J$2:$J700,MATCH(H233,PARAMETROS!$E$2:$E700,0)),""))</f>
        <v/>
      </c>
      <c r="X233" s="23" t="str">
        <f t="shared" si="0"/>
        <v/>
      </c>
    </row>
    <row r="234" spans="1:24">
      <c r="A234" s="12"/>
      <c r="B234" s="12"/>
      <c r="C234" s="12"/>
      <c r="D234" s="12"/>
      <c r="E234" s="12"/>
      <c r="F234" s="12"/>
      <c r="G234" s="12"/>
      <c r="H234" s="12"/>
      <c r="I234" s="12"/>
      <c r="J234" s="14"/>
      <c r="K234" s="12"/>
      <c r="L234" s="14"/>
      <c r="M234" s="12"/>
      <c r="N234" s="12"/>
      <c r="O234" s="14"/>
      <c r="P234" s="12"/>
      <c r="Q234" s="15"/>
      <c r="R234" s="15"/>
      <c r="S234" s="21"/>
      <c r="T234" s="12"/>
      <c r="U234" s="46"/>
      <c r="V234" s="23"/>
      <c r="W234" s="22" t="str">
        <f t="array" ref="W234">IF(A234="","",IFERROR(INDEX(PARAMETROS!$J$2:$J700,MATCH(H234,PARAMETROS!$E$2:$E700,0)),""))</f>
        <v/>
      </c>
      <c r="X234" s="23" t="str">
        <f t="shared" si="0"/>
        <v/>
      </c>
    </row>
    <row r="235" spans="1:24">
      <c r="A235" s="12"/>
      <c r="B235" s="12"/>
      <c r="C235" s="12"/>
      <c r="D235" s="12"/>
      <c r="E235" s="12"/>
      <c r="F235" s="12"/>
      <c r="G235" s="12"/>
      <c r="H235" s="12"/>
      <c r="I235" s="12"/>
      <c r="J235" s="14"/>
      <c r="K235" s="12"/>
      <c r="L235" s="14"/>
      <c r="M235" s="12"/>
      <c r="N235" s="12"/>
      <c r="O235" s="14"/>
      <c r="P235" s="12"/>
      <c r="Q235" s="15"/>
      <c r="R235" s="15"/>
      <c r="S235" s="21"/>
      <c r="T235" s="12"/>
      <c r="U235" s="46"/>
      <c r="V235" s="23"/>
      <c r="W235" s="22" t="str">
        <f t="array" ref="W235">IF(A235="","",IFERROR(INDEX(PARAMETROS!$J$2:$J700,MATCH(H235,PARAMETROS!$E$2:$E700,0)),""))</f>
        <v/>
      </c>
      <c r="X235" s="23" t="str">
        <f t="shared" si="0"/>
        <v/>
      </c>
    </row>
    <row r="236" spans="1:24">
      <c r="A236" s="12"/>
      <c r="B236" s="12"/>
      <c r="C236" s="12"/>
      <c r="D236" s="12"/>
      <c r="E236" s="12"/>
      <c r="F236" s="12"/>
      <c r="G236" s="12"/>
      <c r="H236" s="12"/>
      <c r="I236" s="12"/>
      <c r="J236" s="14"/>
      <c r="K236" s="12"/>
      <c r="L236" s="14"/>
      <c r="M236" s="12"/>
      <c r="N236" s="12"/>
      <c r="O236" s="14"/>
      <c r="P236" s="12"/>
      <c r="Q236" s="15"/>
      <c r="R236" s="15"/>
      <c r="S236" s="21"/>
      <c r="T236" s="12"/>
      <c r="U236" s="46"/>
      <c r="V236" s="23"/>
      <c r="W236" s="22" t="str">
        <f t="array" ref="W236">IF(A236="","",IFERROR(INDEX(PARAMETROS!$J$2:$J700,MATCH(H236,PARAMETROS!$E$2:$E700,0)),""))</f>
        <v/>
      </c>
      <c r="X236" s="23" t="str">
        <f t="shared" si="0"/>
        <v/>
      </c>
    </row>
    <row r="237" spans="1:24">
      <c r="A237" s="12"/>
      <c r="B237" s="12"/>
      <c r="C237" s="12"/>
      <c r="D237" s="12"/>
      <c r="E237" s="12"/>
      <c r="F237" s="12"/>
      <c r="G237" s="12"/>
      <c r="H237" s="12"/>
      <c r="I237" s="12"/>
      <c r="J237" s="14"/>
      <c r="K237" s="12"/>
      <c r="L237" s="14"/>
      <c r="M237" s="12"/>
      <c r="N237" s="12"/>
      <c r="O237" s="14"/>
      <c r="P237" s="12"/>
      <c r="Q237" s="15"/>
      <c r="R237" s="15"/>
      <c r="S237" s="21"/>
      <c r="T237" s="12"/>
      <c r="U237" s="46"/>
      <c r="V237" s="23"/>
      <c r="W237" s="22" t="str">
        <f t="array" ref="W237">IF(A237="","",IFERROR(INDEX(PARAMETROS!$J$2:$J700,MATCH(H237,PARAMETROS!$E$2:$E700,0)),""))</f>
        <v/>
      </c>
      <c r="X237" s="23" t="str">
        <f t="shared" si="0"/>
        <v/>
      </c>
    </row>
    <row r="238" spans="1:24">
      <c r="A238" s="12"/>
      <c r="B238" s="12"/>
      <c r="C238" s="12"/>
      <c r="D238" s="12"/>
      <c r="E238" s="12"/>
      <c r="F238" s="12"/>
      <c r="G238" s="12"/>
      <c r="H238" s="12"/>
      <c r="I238" s="12"/>
      <c r="J238" s="14"/>
      <c r="K238" s="12"/>
      <c r="L238" s="14"/>
      <c r="M238" s="12"/>
      <c r="N238" s="12"/>
      <c r="O238" s="14"/>
      <c r="P238" s="12"/>
      <c r="Q238" s="15"/>
      <c r="R238" s="15"/>
      <c r="S238" s="21"/>
      <c r="T238" s="12"/>
      <c r="U238" s="46"/>
      <c r="V238" s="23"/>
      <c r="W238" s="22" t="str">
        <f t="array" ref="W238">IF(A238="","",IFERROR(INDEX(PARAMETROS!$J$2:$J700,MATCH(H238,PARAMETROS!$E$2:$E700,0)),""))</f>
        <v/>
      </c>
      <c r="X238" s="23" t="str">
        <f t="shared" si="0"/>
        <v/>
      </c>
    </row>
    <row r="239" spans="1:24">
      <c r="A239" s="12"/>
      <c r="B239" s="12"/>
      <c r="C239" s="12"/>
      <c r="D239" s="12"/>
      <c r="E239" s="12"/>
      <c r="F239" s="12"/>
      <c r="G239" s="12"/>
      <c r="H239" s="12"/>
      <c r="I239" s="12"/>
      <c r="J239" s="14"/>
      <c r="K239" s="12"/>
      <c r="L239" s="14"/>
      <c r="M239" s="12"/>
      <c r="N239" s="12"/>
      <c r="O239" s="14"/>
      <c r="P239" s="12"/>
      <c r="Q239" s="15"/>
      <c r="R239" s="15"/>
      <c r="S239" s="21"/>
      <c r="T239" s="12"/>
      <c r="U239" s="46"/>
      <c r="V239" s="23"/>
      <c r="W239" s="22" t="str">
        <f t="array" ref="W239">IF(A239="","",IFERROR(INDEX(PARAMETROS!$J$2:$J700,MATCH(H239,PARAMETROS!$E$2:$E700,0)),""))</f>
        <v/>
      </c>
      <c r="X239" s="23" t="str">
        <f t="shared" si="0"/>
        <v/>
      </c>
    </row>
    <row r="240" spans="1:24">
      <c r="A240" s="12"/>
      <c r="B240" s="12"/>
      <c r="C240" s="12"/>
      <c r="D240" s="12"/>
      <c r="E240" s="12"/>
      <c r="F240" s="12"/>
      <c r="G240" s="12"/>
      <c r="H240" s="12"/>
      <c r="I240" s="12"/>
      <c r="J240" s="14"/>
      <c r="K240" s="12"/>
      <c r="L240" s="14"/>
      <c r="M240" s="12"/>
      <c r="N240" s="12"/>
      <c r="O240" s="14"/>
      <c r="P240" s="12"/>
      <c r="Q240" s="15"/>
      <c r="R240" s="15"/>
      <c r="S240" s="21"/>
      <c r="T240" s="12"/>
      <c r="U240" s="46"/>
      <c r="V240" s="23"/>
      <c r="W240" s="22" t="str">
        <f t="array" ref="W240">IF(A240="","",IFERROR(INDEX(PARAMETROS!$J$2:$J700,MATCH(H240,PARAMETROS!$E$2:$E700,0)),""))</f>
        <v/>
      </c>
      <c r="X240" s="23" t="str">
        <f t="shared" si="0"/>
        <v/>
      </c>
    </row>
    <row r="241" spans="1:24">
      <c r="A241" s="12"/>
      <c r="B241" s="12"/>
      <c r="C241" s="12"/>
      <c r="D241" s="12"/>
      <c r="E241" s="12"/>
      <c r="F241" s="12"/>
      <c r="G241" s="12"/>
      <c r="H241" s="12"/>
      <c r="I241" s="12"/>
      <c r="J241" s="14"/>
      <c r="K241" s="12"/>
      <c r="L241" s="14"/>
      <c r="M241" s="12"/>
      <c r="N241" s="12"/>
      <c r="O241" s="14"/>
      <c r="P241" s="12"/>
      <c r="Q241" s="15"/>
      <c r="R241" s="15"/>
      <c r="S241" s="21"/>
      <c r="T241" s="12"/>
      <c r="U241" s="46"/>
      <c r="V241" s="23"/>
      <c r="W241" s="22" t="str">
        <f t="array" ref="W241">IF(A241="","",IFERROR(INDEX(PARAMETROS!$J$2:$J700,MATCH(H241,PARAMETROS!$E$2:$E700,0)),""))</f>
        <v/>
      </c>
      <c r="X241" s="23" t="str">
        <f t="shared" si="0"/>
        <v/>
      </c>
    </row>
    <row r="242" spans="1:24">
      <c r="A242" s="12"/>
      <c r="B242" s="12"/>
      <c r="C242" s="12"/>
      <c r="D242" s="12"/>
      <c r="E242" s="12"/>
      <c r="F242" s="12"/>
      <c r="G242" s="12"/>
      <c r="H242" s="12"/>
      <c r="I242" s="12"/>
      <c r="J242" s="14"/>
      <c r="K242" s="12"/>
      <c r="L242" s="14"/>
      <c r="M242" s="12"/>
      <c r="N242" s="12"/>
      <c r="O242" s="14"/>
      <c r="P242" s="12"/>
      <c r="Q242" s="15"/>
      <c r="R242" s="15"/>
      <c r="S242" s="21"/>
      <c r="T242" s="12"/>
      <c r="U242" s="46"/>
      <c r="V242" s="23"/>
      <c r="W242" s="22" t="str">
        <f t="array" ref="W242">IF(A242="","",IFERROR(INDEX(PARAMETROS!$J$2:$J700,MATCH(H242,PARAMETROS!$E$2:$E700,0)),""))</f>
        <v/>
      </c>
      <c r="X242" s="23" t="str">
        <f t="shared" si="0"/>
        <v/>
      </c>
    </row>
    <row r="243" spans="1:24">
      <c r="A243" s="12"/>
      <c r="B243" s="12"/>
      <c r="C243" s="12"/>
      <c r="D243" s="12"/>
      <c r="E243" s="12"/>
      <c r="F243" s="12"/>
      <c r="G243" s="12"/>
      <c r="H243" s="12"/>
      <c r="I243" s="12"/>
      <c r="J243" s="14"/>
      <c r="K243" s="12"/>
      <c r="L243" s="14"/>
      <c r="M243" s="12"/>
      <c r="N243" s="12"/>
      <c r="O243" s="14"/>
      <c r="P243" s="12"/>
      <c r="Q243" s="15"/>
      <c r="R243" s="15"/>
      <c r="S243" s="21"/>
      <c r="T243" s="12"/>
      <c r="U243" s="46"/>
      <c r="V243" s="23"/>
      <c r="W243" s="22" t="str">
        <f t="array" ref="W243">IF(A243="","",IFERROR(INDEX(PARAMETROS!$J$2:$J700,MATCH(H243,PARAMETROS!$E$2:$E700,0)),""))</f>
        <v/>
      </c>
      <c r="X243" s="23" t="str">
        <f t="shared" si="0"/>
        <v/>
      </c>
    </row>
    <row r="244" spans="1:24">
      <c r="A244" s="12"/>
      <c r="B244" s="12"/>
      <c r="C244" s="12"/>
      <c r="D244" s="12"/>
      <c r="E244" s="12"/>
      <c r="F244" s="12"/>
      <c r="G244" s="12"/>
      <c r="H244" s="12"/>
      <c r="I244" s="12"/>
      <c r="J244" s="14"/>
      <c r="K244" s="12"/>
      <c r="L244" s="14"/>
      <c r="M244" s="12"/>
      <c r="N244" s="12"/>
      <c r="O244" s="14"/>
      <c r="P244" s="12"/>
      <c r="Q244" s="15"/>
      <c r="R244" s="15"/>
      <c r="S244" s="21"/>
      <c r="T244" s="12"/>
      <c r="U244" s="46"/>
      <c r="V244" s="23"/>
      <c r="W244" s="22" t="str">
        <f t="array" ref="W244">IF(A244="","",IFERROR(INDEX(PARAMETROS!$J$2:$J700,MATCH(H244,PARAMETROS!$E$2:$E700,0)),""))</f>
        <v/>
      </c>
      <c r="X244" s="23" t="str">
        <f t="shared" si="0"/>
        <v/>
      </c>
    </row>
    <row r="245" spans="1:24">
      <c r="A245" s="12"/>
      <c r="B245" s="12"/>
      <c r="C245" s="12"/>
      <c r="D245" s="12"/>
      <c r="E245" s="12"/>
      <c r="F245" s="12"/>
      <c r="G245" s="12"/>
      <c r="H245" s="12"/>
      <c r="I245" s="12"/>
      <c r="J245" s="14"/>
      <c r="K245" s="12"/>
      <c r="L245" s="14"/>
      <c r="M245" s="12"/>
      <c r="N245" s="12"/>
      <c r="O245" s="14"/>
      <c r="P245" s="12"/>
      <c r="Q245" s="15"/>
      <c r="R245" s="15"/>
      <c r="S245" s="21"/>
      <c r="T245" s="12"/>
      <c r="U245" s="46"/>
      <c r="V245" s="23"/>
      <c r="W245" s="22" t="str">
        <f t="array" ref="W245">IF(A245="","",IFERROR(INDEX(PARAMETROS!$J$2:$J700,MATCH(H245,PARAMETROS!$E$2:$E700,0)),""))</f>
        <v/>
      </c>
      <c r="X245" s="23" t="str">
        <f t="shared" si="0"/>
        <v/>
      </c>
    </row>
    <row r="246" spans="1:24">
      <c r="A246" s="12"/>
      <c r="B246" s="12"/>
      <c r="C246" s="12"/>
      <c r="D246" s="12"/>
      <c r="E246" s="12"/>
      <c r="F246" s="12"/>
      <c r="G246" s="12"/>
      <c r="H246" s="12"/>
      <c r="I246" s="12"/>
      <c r="J246" s="14"/>
      <c r="K246" s="12"/>
      <c r="L246" s="14"/>
      <c r="M246" s="12"/>
      <c r="N246" s="12"/>
      <c r="O246" s="14"/>
      <c r="P246" s="12"/>
      <c r="Q246" s="15"/>
      <c r="R246" s="15"/>
      <c r="S246" s="21"/>
      <c r="T246" s="12"/>
      <c r="U246" s="46"/>
      <c r="V246" s="23"/>
      <c r="W246" s="22" t="str">
        <f t="array" ref="W246">IF(A246="","",IFERROR(INDEX(PARAMETROS!$J$2:$J700,MATCH(H246,PARAMETROS!$E$2:$E700,0)),""))</f>
        <v/>
      </c>
      <c r="X246" s="23" t="str">
        <f t="shared" si="0"/>
        <v/>
      </c>
    </row>
    <row r="247" spans="1:24">
      <c r="A247" s="12"/>
      <c r="B247" s="12"/>
      <c r="C247" s="12"/>
      <c r="D247" s="12"/>
      <c r="E247" s="12"/>
      <c r="F247" s="12"/>
      <c r="G247" s="12"/>
      <c r="H247" s="12"/>
      <c r="I247" s="12"/>
      <c r="J247" s="14"/>
      <c r="K247" s="12"/>
      <c r="L247" s="14"/>
      <c r="M247" s="12"/>
      <c r="N247" s="12"/>
      <c r="O247" s="14"/>
      <c r="P247" s="12"/>
      <c r="Q247" s="15"/>
      <c r="R247" s="15"/>
      <c r="S247" s="21"/>
      <c r="T247" s="12"/>
      <c r="U247" s="46"/>
      <c r="V247" s="23"/>
      <c r="W247" s="22" t="str">
        <f t="array" ref="W247">IF(A247="","",IFERROR(INDEX(PARAMETROS!$J$2:$J700,MATCH(H247,PARAMETROS!$E$2:$E700,0)),""))</f>
        <v/>
      </c>
      <c r="X247" s="23" t="str">
        <f t="shared" si="0"/>
        <v/>
      </c>
    </row>
    <row r="248" spans="1:24">
      <c r="A248" s="12"/>
      <c r="B248" s="12"/>
      <c r="C248" s="12"/>
      <c r="D248" s="12"/>
      <c r="E248" s="12"/>
      <c r="F248" s="12"/>
      <c r="G248" s="12"/>
      <c r="H248" s="12"/>
      <c r="I248" s="12"/>
      <c r="J248" s="14"/>
      <c r="K248" s="12"/>
      <c r="L248" s="14"/>
      <c r="M248" s="12"/>
      <c r="N248" s="12"/>
      <c r="O248" s="14"/>
      <c r="P248" s="12"/>
      <c r="Q248" s="15"/>
      <c r="R248" s="15"/>
      <c r="S248" s="21"/>
      <c r="T248" s="12"/>
      <c r="U248" s="46"/>
      <c r="V248" s="23"/>
      <c r="W248" s="22" t="str">
        <f t="array" ref="W248">IF(A248="","",IFERROR(INDEX(PARAMETROS!$J$2:$J700,MATCH(H248,PARAMETROS!$E$2:$E700,0)),""))</f>
        <v/>
      </c>
      <c r="X248" s="23" t="str">
        <f t="shared" si="0"/>
        <v/>
      </c>
    </row>
    <row r="249" spans="1:24">
      <c r="A249" s="12"/>
      <c r="B249" s="12"/>
      <c r="C249" s="12"/>
      <c r="D249" s="12"/>
      <c r="E249" s="12"/>
      <c r="F249" s="12"/>
      <c r="G249" s="12"/>
      <c r="H249" s="12"/>
      <c r="I249" s="12"/>
      <c r="J249" s="14"/>
      <c r="K249" s="12"/>
      <c r="L249" s="14"/>
      <c r="M249" s="12"/>
      <c r="N249" s="12"/>
      <c r="O249" s="14"/>
      <c r="P249" s="12"/>
      <c r="Q249" s="15"/>
      <c r="R249" s="15"/>
      <c r="S249" s="21"/>
      <c r="T249" s="12"/>
      <c r="U249" s="46"/>
      <c r="V249" s="23"/>
      <c r="W249" s="22" t="str">
        <f t="array" ref="W249">IF(A249="","",IFERROR(INDEX(PARAMETROS!$J$2:$J700,MATCH(H249,PARAMETROS!$E$2:$E700,0)),""))</f>
        <v/>
      </c>
      <c r="X249" s="23" t="str">
        <f t="shared" si="0"/>
        <v/>
      </c>
    </row>
    <row r="250" spans="1:24">
      <c r="A250" s="12"/>
      <c r="B250" s="12"/>
      <c r="C250" s="12"/>
      <c r="D250" s="12"/>
      <c r="E250" s="12"/>
      <c r="F250" s="12"/>
      <c r="G250" s="12"/>
      <c r="H250" s="12"/>
      <c r="I250" s="12"/>
      <c r="J250" s="14"/>
      <c r="K250" s="12"/>
      <c r="L250" s="14"/>
      <c r="M250" s="12"/>
      <c r="N250" s="12"/>
      <c r="O250" s="14"/>
      <c r="P250" s="12"/>
      <c r="Q250" s="15"/>
      <c r="R250" s="15"/>
      <c r="S250" s="21"/>
      <c r="T250" s="12"/>
      <c r="U250" s="46"/>
      <c r="V250" s="23"/>
      <c r="W250" s="22" t="str">
        <f t="array" ref="W250">IF(A250="","",IFERROR(INDEX(PARAMETROS!$J$2:$J700,MATCH(H250,PARAMETROS!$E$2:$E700,0)),""))</f>
        <v/>
      </c>
      <c r="X250" s="23" t="str">
        <f t="shared" si="0"/>
        <v/>
      </c>
    </row>
    <row r="251" spans="1:24">
      <c r="A251" s="12"/>
      <c r="B251" s="12"/>
      <c r="C251" s="12"/>
      <c r="D251" s="12"/>
      <c r="E251" s="12"/>
      <c r="F251" s="12"/>
      <c r="G251" s="12"/>
      <c r="H251" s="12"/>
      <c r="I251" s="12"/>
      <c r="J251" s="14"/>
      <c r="K251" s="12"/>
      <c r="L251" s="14"/>
      <c r="M251" s="12"/>
      <c r="N251" s="12"/>
      <c r="O251" s="14"/>
      <c r="P251" s="12"/>
      <c r="Q251" s="15"/>
      <c r="R251" s="15"/>
      <c r="S251" s="21"/>
      <c r="T251" s="12"/>
      <c r="U251" s="46"/>
      <c r="V251" s="23"/>
      <c r="W251" s="22" t="str">
        <f t="array" ref="W251">IF(A251="","",IFERROR(INDEX(PARAMETROS!$J$2:$J700,MATCH(H251,PARAMETROS!$E$2:$E700,0)),""))</f>
        <v/>
      </c>
      <c r="X251" s="23" t="str">
        <f t="shared" si="0"/>
        <v/>
      </c>
    </row>
    <row r="252" spans="1:24">
      <c r="A252" s="12"/>
      <c r="B252" s="12"/>
      <c r="C252" s="12"/>
      <c r="D252" s="12"/>
      <c r="E252" s="12"/>
      <c r="F252" s="12"/>
      <c r="G252" s="12"/>
      <c r="H252" s="12"/>
      <c r="I252" s="12"/>
      <c r="J252" s="14"/>
      <c r="K252" s="12"/>
      <c r="L252" s="14"/>
      <c r="M252" s="12"/>
      <c r="N252" s="12"/>
      <c r="O252" s="14"/>
      <c r="P252" s="12"/>
      <c r="Q252" s="15"/>
      <c r="R252" s="15"/>
      <c r="S252" s="21"/>
      <c r="T252" s="12"/>
      <c r="U252" s="46"/>
      <c r="V252" s="23"/>
      <c r="W252" s="22" t="str">
        <f t="array" ref="W252">IF(A252="","",IFERROR(INDEX(PARAMETROS!$J$2:$J700,MATCH(H252,PARAMETROS!$E$2:$E700,0)),""))</f>
        <v/>
      </c>
      <c r="X252" s="23" t="str">
        <f t="shared" si="0"/>
        <v/>
      </c>
    </row>
    <row r="253" spans="1:24">
      <c r="A253" s="12"/>
      <c r="B253" s="12"/>
      <c r="C253" s="12"/>
      <c r="D253" s="12"/>
      <c r="E253" s="12"/>
      <c r="F253" s="12"/>
      <c r="G253" s="12"/>
      <c r="H253" s="12"/>
      <c r="I253" s="12"/>
      <c r="J253" s="14"/>
      <c r="K253" s="12"/>
      <c r="L253" s="14"/>
      <c r="M253" s="12"/>
      <c r="N253" s="12"/>
      <c r="O253" s="14"/>
      <c r="P253" s="12"/>
      <c r="Q253" s="15"/>
      <c r="R253" s="15"/>
      <c r="S253" s="21"/>
      <c r="T253" s="12"/>
      <c r="U253" s="46"/>
      <c r="V253" s="23"/>
      <c r="W253" s="22" t="str">
        <f t="array" ref="W253">IF(A253="","",IFERROR(INDEX(PARAMETROS!$J$2:$J700,MATCH(H253,PARAMETROS!$E$2:$E700,0)),""))</f>
        <v/>
      </c>
      <c r="X253" s="23" t="str">
        <f t="shared" si="0"/>
        <v/>
      </c>
    </row>
    <row r="254" spans="1:24">
      <c r="A254" s="12"/>
      <c r="B254" s="12"/>
      <c r="C254" s="12"/>
      <c r="D254" s="12"/>
      <c r="E254" s="12"/>
      <c r="F254" s="12"/>
      <c r="G254" s="12"/>
      <c r="H254" s="12"/>
      <c r="I254" s="12"/>
      <c r="J254" s="14"/>
      <c r="K254" s="12"/>
      <c r="L254" s="14"/>
      <c r="M254" s="12"/>
      <c r="N254" s="12"/>
      <c r="O254" s="14"/>
      <c r="P254" s="12"/>
      <c r="Q254" s="15"/>
      <c r="R254" s="15"/>
      <c r="S254" s="21"/>
      <c r="T254" s="12"/>
      <c r="U254" s="46"/>
      <c r="V254" s="23"/>
      <c r="W254" s="22" t="str">
        <f t="array" ref="W254">IF(A254="","",IFERROR(INDEX(PARAMETROS!$J$2:$J700,MATCH(H254,PARAMETROS!$E$2:$E700,0)),""))</f>
        <v/>
      </c>
      <c r="X254" s="23" t="str">
        <f t="shared" si="0"/>
        <v/>
      </c>
    </row>
    <row r="255" spans="1:24">
      <c r="A255" s="12"/>
      <c r="B255" s="12"/>
      <c r="C255" s="12"/>
      <c r="D255" s="12"/>
      <c r="E255" s="12"/>
      <c r="F255" s="12"/>
      <c r="G255" s="12"/>
      <c r="H255" s="12"/>
      <c r="I255" s="12"/>
      <c r="J255" s="14"/>
      <c r="K255" s="12"/>
      <c r="L255" s="14"/>
      <c r="M255" s="12"/>
      <c r="N255" s="12"/>
      <c r="O255" s="14"/>
      <c r="P255" s="12"/>
      <c r="Q255" s="15"/>
      <c r="R255" s="15"/>
      <c r="S255" s="21"/>
      <c r="T255" s="12"/>
      <c r="U255" s="46"/>
      <c r="V255" s="23"/>
      <c r="W255" s="22" t="str">
        <f t="array" ref="W255">IF(A255="","",IFERROR(INDEX(PARAMETROS!$J$2:$J700,MATCH(H255,PARAMETROS!$E$2:$E700,0)),""))</f>
        <v/>
      </c>
      <c r="X255" s="23" t="str">
        <f t="shared" si="0"/>
        <v/>
      </c>
    </row>
    <row r="256" spans="1:24">
      <c r="A256" s="12"/>
      <c r="B256" s="12"/>
      <c r="C256" s="12"/>
      <c r="D256" s="12"/>
      <c r="E256" s="12"/>
      <c r="F256" s="12"/>
      <c r="G256" s="12"/>
      <c r="H256" s="12"/>
      <c r="I256" s="12"/>
      <c r="J256" s="14"/>
      <c r="K256" s="12"/>
      <c r="L256" s="14"/>
      <c r="M256" s="12"/>
      <c r="N256" s="12"/>
      <c r="O256" s="14"/>
      <c r="P256" s="12"/>
      <c r="Q256" s="15"/>
      <c r="R256" s="15"/>
      <c r="S256" s="21"/>
      <c r="T256" s="12"/>
      <c r="U256" s="46"/>
      <c r="V256" s="23"/>
      <c r="W256" s="22" t="str">
        <f t="array" ref="W256">IF(A256="","",IFERROR(INDEX(PARAMETROS!$J$2:$J700,MATCH(H256,PARAMETROS!$E$2:$E700,0)),""))</f>
        <v/>
      </c>
      <c r="X256" s="23" t="str">
        <f t="shared" si="0"/>
        <v/>
      </c>
    </row>
    <row r="257" spans="1:24">
      <c r="A257" s="12"/>
      <c r="B257" s="12"/>
      <c r="C257" s="12"/>
      <c r="D257" s="12"/>
      <c r="E257" s="12"/>
      <c r="F257" s="12"/>
      <c r="G257" s="12"/>
      <c r="H257" s="12"/>
      <c r="I257" s="12"/>
      <c r="J257" s="14"/>
      <c r="K257" s="12"/>
      <c r="L257" s="14"/>
      <c r="M257" s="12"/>
      <c r="N257" s="12"/>
      <c r="O257" s="14"/>
      <c r="P257" s="12"/>
      <c r="Q257" s="15"/>
      <c r="R257" s="15"/>
      <c r="S257" s="21"/>
      <c r="T257" s="12"/>
      <c r="U257" s="46"/>
      <c r="V257" s="23"/>
      <c r="W257" s="22" t="str">
        <f t="array" ref="W257">IF(A257="","",IFERROR(INDEX(PARAMETROS!$J$2:$J700,MATCH(H257,PARAMETROS!$E$2:$E700,0)),""))</f>
        <v/>
      </c>
      <c r="X257" s="23" t="str">
        <f t="shared" ref="X257:X511" si="1">IF(A257="","",IF(T257=0,"",Q257/T257))</f>
        <v/>
      </c>
    </row>
    <row r="258" spans="1:24">
      <c r="A258" s="12"/>
      <c r="B258" s="12"/>
      <c r="C258" s="12"/>
      <c r="D258" s="12"/>
      <c r="E258" s="12"/>
      <c r="F258" s="12"/>
      <c r="G258" s="12"/>
      <c r="H258" s="12"/>
      <c r="I258" s="12"/>
      <c r="J258" s="14"/>
      <c r="K258" s="12"/>
      <c r="L258" s="14"/>
      <c r="M258" s="12"/>
      <c r="N258" s="12"/>
      <c r="O258" s="14"/>
      <c r="P258" s="12"/>
      <c r="Q258" s="15"/>
      <c r="R258" s="15"/>
      <c r="S258" s="21"/>
      <c r="T258" s="12"/>
      <c r="U258" s="46"/>
      <c r="V258" s="23"/>
      <c r="W258" s="22" t="str">
        <f t="array" ref="W258">IF(A258="","",IFERROR(INDEX(PARAMETROS!$J$2:$J700,MATCH(H258,PARAMETROS!$E$2:$E700,0)),""))</f>
        <v/>
      </c>
      <c r="X258" s="23" t="str">
        <f t="shared" si="1"/>
        <v/>
      </c>
    </row>
    <row r="259" spans="1:24">
      <c r="A259" s="12"/>
      <c r="B259" s="12"/>
      <c r="C259" s="12"/>
      <c r="D259" s="12"/>
      <c r="E259" s="12"/>
      <c r="F259" s="12"/>
      <c r="G259" s="12"/>
      <c r="H259" s="12"/>
      <c r="I259" s="12"/>
      <c r="J259" s="14"/>
      <c r="K259" s="12"/>
      <c r="L259" s="14"/>
      <c r="M259" s="12"/>
      <c r="N259" s="12"/>
      <c r="O259" s="14"/>
      <c r="P259" s="12"/>
      <c r="Q259" s="15"/>
      <c r="R259" s="15"/>
      <c r="S259" s="21"/>
      <c r="T259" s="12"/>
      <c r="U259" s="46"/>
      <c r="V259" s="23"/>
      <c r="W259" s="22" t="str">
        <f t="array" ref="W259">IF(A259="","",IFERROR(INDEX(PARAMETROS!$J$2:$J700,MATCH(H259,PARAMETROS!$E$2:$E700,0)),""))</f>
        <v/>
      </c>
      <c r="X259" s="23" t="str">
        <f t="shared" si="1"/>
        <v/>
      </c>
    </row>
    <row r="260" spans="1:24">
      <c r="A260" s="12"/>
      <c r="B260" s="12"/>
      <c r="C260" s="12"/>
      <c r="D260" s="12"/>
      <c r="E260" s="12"/>
      <c r="F260" s="12"/>
      <c r="G260" s="12"/>
      <c r="H260" s="12"/>
      <c r="I260" s="12"/>
      <c r="J260" s="14"/>
      <c r="K260" s="12"/>
      <c r="L260" s="14"/>
      <c r="M260" s="12"/>
      <c r="N260" s="12"/>
      <c r="O260" s="14"/>
      <c r="P260" s="12"/>
      <c r="Q260" s="15"/>
      <c r="R260" s="15"/>
      <c r="S260" s="21"/>
      <c r="T260" s="12"/>
      <c r="U260" s="46"/>
      <c r="V260" s="23"/>
      <c r="W260" s="22" t="str">
        <f t="array" ref="W260">IF(A260="","",IFERROR(INDEX(PARAMETROS!$J$2:$J700,MATCH(H260,PARAMETROS!$E$2:$E700,0)),""))</f>
        <v/>
      </c>
      <c r="X260" s="23" t="str">
        <f t="shared" si="1"/>
        <v/>
      </c>
    </row>
    <row r="261" spans="1:24">
      <c r="A261" s="12"/>
      <c r="B261" s="12"/>
      <c r="C261" s="12"/>
      <c r="D261" s="12"/>
      <c r="E261" s="12"/>
      <c r="F261" s="12"/>
      <c r="G261" s="12"/>
      <c r="H261" s="12"/>
      <c r="I261" s="12"/>
      <c r="J261" s="14"/>
      <c r="K261" s="12"/>
      <c r="L261" s="14"/>
      <c r="M261" s="12"/>
      <c r="N261" s="12"/>
      <c r="O261" s="14"/>
      <c r="P261" s="12"/>
      <c r="Q261" s="15"/>
      <c r="R261" s="15"/>
      <c r="S261" s="21"/>
      <c r="T261" s="12"/>
      <c r="U261" s="46"/>
      <c r="V261" s="23"/>
      <c r="W261" s="22" t="str">
        <f t="array" ref="W261">IF(A261="","",IFERROR(INDEX(PARAMETROS!$J$2:$J700,MATCH(H261,PARAMETROS!$E$2:$E700,0)),""))</f>
        <v/>
      </c>
      <c r="X261" s="23" t="str">
        <f t="shared" si="1"/>
        <v/>
      </c>
    </row>
    <row r="262" spans="1:24">
      <c r="A262" s="12"/>
      <c r="B262" s="12"/>
      <c r="C262" s="12"/>
      <c r="D262" s="12"/>
      <c r="E262" s="12"/>
      <c r="F262" s="12"/>
      <c r="G262" s="12"/>
      <c r="H262" s="12"/>
      <c r="I262" s="12"/>
      <c r="J262" s="14"/>
      <c r="K262" s="12"/>
      <c r="L262" s="14"/>
      <c r="M262" s="12"/>
      <c r="N262" s="12"/>
      <c r="O262" s="14"/>
      <c r="P262" s="12"/>
      <c r="Q262" s="15"/>
      <c r="R262" s="15"/>
      <c r="S262" s="21"/>
      <c r="T262" s="12"/>
      <c r="U262" s="46"/>
      <c r="V262" s="23"/>
      <c r="W262" s="22" t="str">
        <f t="array" ref="W262">IF(A262="","",IFERROR(INDEX(PARAMETROS!$J$2:$J700,MATCH(H262,PARAMETROS!$E$2:$E700,0)),""))</f>
        <v/>
      </c>
      <c r="X262" s="23" t="str">
        <f t="shared" si="1"/>
        <v/>
      </c>
    </row>
    <row r="263" spans="1:24">
      <c r="A263" s="12"/>
      <c r="B263" s="12"/>
      <c r="C263" s="12"/>
      <c r="D263" s="12"/>
      <c r="E263" s="12"/>
      <c r="F263" s="12"/>
      <c r="G263" s="12"/>
      <c r="H263" s="12"/>
      <c r="I263" s="12"/>
      <c r="J263" s="14"/>
      <c r="K263" s="12"/>
      <c r="L263" s="14"/>
      <c r="M263" s="12"/>
      <c r="N263" s="12"/>
      <c r="O263" s="14"/>
      <c r="P263" s="12"/>
      <c r="Q263" s="15"/>
      <c r="R263" s="15"/>
      <c r="S263" s="21"/>
      <c r="T263" s="12"/>
      <c r="U263" s="46"/>
      <c r="V263" s="23"/>
      <c r="W263" s="22" t="str">
        <f t="array" ref="W263">IF(A263="","",IFERROR(INDEX(PARAMETROS!$J$2:$J700,MATCH(H263,PARAMETROS!$E$2:$E700,0)),""))</f>
        <v/>
      </c>
      <c r="X263" s="23" t="str">
        <f t="shared" si="1"/>
        <v/>
      </c>
    </row>
    <row r="264" spans="1:24">
      <c r="A264" s="12"/>
      <c r="B264" s="12"/>
      <c r="C264" s="12"/>
      <c r="D264" s="12"/>
      <c r="E264" s="12"/>
      <c r="F264" s="12"/>
      <c r="G264" s="12"/>
      <c r="H264" s="12"/>
      <c r="I264" s="12"/>
      <c r="J264" s="14"/>
      <c r="K264" s="12"/>
      <c r="L264" s="14"/>
      <c r="M264" s="12"/>
      <c r="N264" s="12"/>
      <c r="O264" s="14"/>
      <c r="P264" s="12"/>
      <c r="Q264" s="15"/>
      <c r="R264" s="15"/>
      <c r="S264" s="21"/>
      <c r="T264" s="12"/>
      <c r="U264" s="46"/>
      <c r="V264" s="23"/>
      <c r="W264" s="22" t="str">
        <f t="array" ref="W264">IF(A264="","",IFERROR(INDEX(PARAMETROS!$J$2:$J700,MATCH(H264,PARAMETROS!$E$2:$E700,0)),""))</f>
        <v/>
      </c>
      <c r="X264" s="23" t="str">
        <f t="shared" si="1"/>
        <v/>
      </c>
    </row>
    <row r="265" spans="1:24">
      <c r="A265" s="12"/>
      <c r="B265" s="12"/>
      <c r="C265" s="12"/>
      <c r="D265" s="12"/>
      <c r="E265" s="12"/>
      <c r="F265" s="12"/>
      <c r="G265" s="12"/>
      <c r="H265" s="12"/>
      <c r="I265" s="12"/>
      <c r="J265" s="14"/>
      <c r="K265" s="12"/>
      <c r="L265" s="14"/>
      <c r="M265" s="12"/>
      <c r="N265" s="12"/>
      <c r="O265" s="14"/>
      <c r="P265" s="12"/>
      <c r="Q265" s="15"/>
      <c r="R265" s="15"/>
      <c r="S265" s="21"/>
      <c r="T265" s="12"/>
      <c r="U265" s="46"/>
      <c r="V265" s="23"/>
      <c r="W265" s="22" t="str">
        <f t="array" ref="W265">IF(A265="","",IFERROR(INDEX(PARAMETROS!$J$2:$J700,MATCH(H265,PARAMETROS!$E$2:$E700,0)),""))</f>
        <v/>
      </c>
      <c r="X265" s="23" t="str">
        <f t="shared" si="1"/>
        <v/>
      </c>
    </row>
    <row r="266" spans="1:24">
      <c r="A266" s="12"/>
      <c r="B266" s="12"/>
      <c r="C266" s="12"/>
      <c r="D266" s="12"/>
      <c r="E266" s="12"/>
      <c r="F266" s="12"/>
      <c r="G266" s="12"/>
      <c r="H266" s="12"/>
      <c r="I266" s="12"/>
      <c r="J266" s="14"/>
      <c r="K266" s="12"/>
      <c r="L266" s="14"/>
      <c r="M266" s="12"/>
      <c r="N266" s="12"/>
      <c r="O266" s="14"/>
      <c r="P266" s="12"/>
      <c r="Q266" s="15"/>
      <c r="R266" s="15"/>
      <c r="S266" s="21"/>
      <c r="T266" s="12"/>
      <c r="U266" s="46"/>
      <c r="V266" s="23"/>
      <c r="W266" s="22" t="str">
        <f t="array" ref="W266">IF(A266="","",IFERROR(INDEX(PARAMETROS!$J$2:$J700,MATCH(H266,PARAMETROS!$E$2:$E700,0)),""))</f>
        <v/>
      </c>
      <c r="X266" s="23" t="str">
        <f t="shared" si="1"/>
        <v/>
      </c>
    </row>
    <row r="267" spans="1:24">
      <c r="A267" s="12"/>
      <c r="B267" s="12"/>
      <c r="C267" s="12"/>
      <c r="D267" s="12"/>
      <c r="E267" s="12"/>
      <c r="F267" s="12"/>
      <c r="G267" s="12"/>
      <c r="H267" s="12"/>
      <c r="I267" s="12"/>
      <c r="J267" s="14"/>
      <c r="K267" s="12"/>
      <c r="L267" s="14"/>
      <c r="M267" s="12"/>
      <c r="N267" s="12"/>
      <c r="O267" s="14"/>
      <c r="P267" s="12"/>
      <c r="Q267" s="15"/>
      <c r="R267" s="15"/>
      <c r="S267" s="21"/>
      <c r="T267" s="12"/>
      <c r="U267" s="46"/>
      <c r="V267" s="23"/>
      <c r="W267" s="22" t="str">
        <f t="array" ref="W267">IF(A267="","",IFERROR(INDEX(PARAMETROS!$J$2:$J700,MATCH(H267,PARAMETROS!$E$2:$E700,0)),""))</f>
        <v/>
      </c>
      <c r="X267" s="23" t="str">
        <f t="shared" si="1"/>
        <v/>
      </c>
    </row>
    <row r="268" spans="1:24">
      <c r="A268" s="12"/>
      <c r="B268" s="12"/>
      <c r="C268" s="12"/>
      <c r="D268" s="12"/>
      <c r="E268" s="12"/>
      <c r="F268" s="12"/>
      <c r="G268" s="12"/>
      <c r="H268" s="12"/>
      <c r="I268" s="12"/>
      <c r="J268" s="14"/>
      <c r="K268" s="12"/>
      <c r="L268" s="14"/>
      <c r="M268" s="12"/>
      <c r="N268" s="12"/>
      <c r="O268" s="14"/>
      <c r="P268" s="12"/>
      <c r="Q268" s="15"/>
      <c r="R268" s="15"/>
      <c r="S268" s="21"/>
      <c r="T268" s="12"/>
      <c r="U268" s="46"/>
      <c r="V268" s="23"/>
      <c r="W268" s="22" t="str">
        <f t="array" ref="W268">IF(A268="","",IFERROR(INDEX(PARAMETROS!$J$2:$J700,MATCH(H268,PARAMETROS!$E$2:$E700,0)),""))</f>
        <v/>
      </c>
      <c r="X268" s="23" t="str">
        <f t="shared" si="1"/>
        <v/>
      </c>
    </row>
    <row r="269" spans="1:24">
      <c r="A269" s="12"/>
      <c r="B269" s="12"/>
      <c r="C269" s="12"/>
      <c r="D269" s="12"/>
      <c r="E269" s="12"/>
      <c r="F269" s="12"/>
      <c r="G269" s="12"/>
      <c r="H269" s="12"/>
      <c r="I269" s="12"/>
      <c r="J269" s="14"/>
      <c r="K269" s="12"/>
      <c r="L269" s="14"/>
      <c r="M269" s="12"/>
      <c r="N269" s="12"/>
      <c r="O269" s="14"/>
      <c r="P269" s="12"/>
      <c r="Q269" s="15"/>
      <c r="R269" s="15"/>
      <c r="S269" s="21"/>
      <c r="T269" s="12"/>
      <c r="U269" s="46"/>
      <c r="V269" s="23"/>
      <c r="W269" s="22" t="str">
        <f t="array" ref="W269">IF(A269="","",IFERROR(INDEX(PARAMETROS!$J$2:$J700,MATCH(H269,PARAMETROS!$E$2:$E700,0)),""))</f>
        <v/>
      </c>
      <c r="X269" s="23" t="str">
        <f t="shared" si="1"/>
        <v/>
      </c>
    </row>
    <row r="270" spans="1:24">
      <c r="A270" s="12"/>
      <c r="B270" s="12"/>
      <c r="C270" s="12"/>
      <c r="D270" s="12"/>
      <c r="E270" s="12"/>
      <c r="F270" s="12"/>
      <c r="G270" s="12"/>
      <c r="H270" s="12"/>
      <c r="I270" s="12"/>
      <c r="J270" s="14"/>
      <c r="K270" s="12"/>
      <c r="L270" s="14"/>
      <c r="M270" s="12"/>
      <c r="N270" s="12"/>
      <c r="O270" s="14"/>
      <c r="P270" s="12"/>
      <c r="Q270" s="15"/>
      <c r="R270" s="15"/>
      <c r="S270" s="21"/>
      <c r="T270" s="12"/>
      <c r="U270" s="46"/>
      <c r="V270" s="23"/>
      <c r="W270" s="22" t="str">
        <f t="array" ref="W270">IF(A270="","",IFERROR(INDEX(PARAMETROS!$J$2:$J700,MATCH(H270,PARAMETROS!$E$2:$E700,0)),""))</f>
        <v/>
      </c>
      <c r="X270" s="23" t="str">
        <f t="shared" si="1"/>
        <v/>
      </c>
    </row>
    <row r="271" spans="1:24">
      <c r="A271" s="12"/>
      <c r="B271" s="12"/>
      <c r="C271" s="12"/>
      <c r="D271" s="12"/>
      <c r="E271" s="12"/>
      <c r="F271" s="12"/>
      <c r="G271" s="12"/>
      <c r="H271" s="12"/>
      <c r="I271" s="12"/>
      <c r="J271" s="14"/>
      <c r="K271" s="12"/>
      <c r="L271" s="14"/>
      <c r="M271" s="12"/>
      <c r="N271" s="12"/>
      <c r="O271" s="14"/>
      <c r="P271" s="12"/>
      <c r="Q271" s="15"/>
      <c r="R271" s="15"/>
      <c r="S271" s="21"/>
      <c r="T271" s="12"/>
      <c r="U271" s="46"/>
      <c r="V271" s="23"/>
      <c r="W271" s="22" t="str">
        <f t="array" ref="W271">IF(A271="","",IFERROR(INDEX(PARAMETROS!$J$2:$J700,MATCH(H271,PARAMETROS!$E$2:$E700,0)),""))</f>
        <v/>
      </c>
      <c r="X271" s="23" t="str">
        <f t="shared" si="1"/>
        <v/>
      </c>
    </row>
    <row r="272" spans="1:24">
      <c r="A272" s="12"/>
      <c r="B272" s="12"/>
      <c r="C272" s="12"/>
      <c r="D272" s="12"/>
      <c r="E272" s="12"/>
      <c r="F272" s="12"/>
      <c r="G272" s="12"/>
      <c r="H272" s="12"/>
      <c r="I272" s="12"/>
      <c r="J272" s="14"/>
      <c r="K272" s="12"/>
      <c r="L272" s="14"/>
      <c r="M272" s="12"/>
      <c r="N272" s="12"/>
      <c r="O272" s="14"/>
      <c r="P272" s="12"/>
      <c r="Q272" s="15"/>
      <c r="R272" s="15"/>
      <c r="S272" s="21"/>
      <c r="T272" s="12"/>
      <c r="U272" s="46"/>
      <c r="V272" s="23"/>
      <c r="W272" s="22" t="str">
        <f t="array" ref="W272">IF(A272="","",IFERROR(INDEX(PARAMETROS!$J$2:$J700,MATCH(H272,PARAMETROS!$E$2:$E700,0)),""))</f>
        <v/>
      </c>
      <c r="X272" s="23" t="str">
        <f t="shared" si="1"/>
        <v/>
      </c>
    </row>
    <row r="273" spans="1:24">
      <c r="A273" s="12"/>
      <c r="B273" s="12"/>
      <c r="C273" s="12"/>
      <c r="D273" s="12"/>
      <c r="E273" s="12"/>
      <c r="F273" s="12"/>
      <c r="G273" s="12"/>
      <c r="H273" s="12"/>
      <c r="I273" s="12"/>
      <c r="J273" s="14"/>
      <c r="K273" s="12"/>
      <c r="L273" s="14"/>
      <c r="M273" s="12"/>
      <c r="N273" s="12"/>
      <c r="O273" s="14"/>
      <c r="P273" s="12"/>
      <c r="Q273" s="15"/>
      <c r="R273" s="15"/>
      <c r="S273" s="21"/>
      <c r="T273" s="12"/>
      <c r="U273" s="46"/>
      <c r="V273" s="23"/>
      <c r="W273" s="22" t="str">
        <f t="array" ref="W273">IF(A273="","",IFERROR(INDEX(PARAMETROS!$J$2:$J700,MATCH(H273,PARAMETROS!$E$2:$E700,0)),""))</f>
        <v/>
      </c>
      <c r="X273" s="23" t="str">
        <f t="shared" si="1"/>
        <v/>
      </c>
    </row>
    <row r="274" spans="1:24">
      <c r="A274" s="12"/>
      <c r="B274" s="12"/>
      <c r="C274" s="12"/>
      <c r="D274" s="12"/>
      <c r="E274" s="12"/>
      <c r="F274" s="12"/>
      <c r="G274" s="12"/>
      <c r="H274" s="12"/>
      <c r="I274" s="12"/>
      <c r="J274" s="14"/>
      <c r="K274" s="12"/>
      <c r="L274" s="14"/>
      <c r="M274" s="12"/>
      <c r="N274" s="12"/>
      <c r="O274" s="14"/>
      <c r="P274" s="12"/>
      <c r="Q274" s="15"/>
      <c r="R274" s="15"/>
      <c r="S274" s="21"/>
      <c r="T274" s="12"/>
      <c r="U274" s="46"/>
      <c r="V274" s="23"/>
      <c r="W274" s="22" t="str">
        <f t="array" ref="W274">IF(A274="","",IFERROR(INDEX(PARAMETROS!$J$2:$J700,MATCH(H274,PARAMETROS!$E$2:$E700,0)),""))</f>
        <v/>
      </c>
      <c r="X274" s="23" t="str">
        <f t="shared" si="1"/>
        <v/>
      </c>
    </row>
    <row r="275" spans="1:24">
      <c r="A275" s="12"/>
      <c r="B275" s="12"/>
      <c r="C275" s="12"/>
      <c r="D275" s="12"/>
      <c r="E275" s="12"/>
      <c r="F275" s="12"/>
      <c r="G275" s="12"/>
      <c r="H275" s="12"/>
      <c r="I275" s="12"/>
      <c r="J275" s="14"/>
      <c r="K275" s="12"/>
      <c r="L275" s="14"/>
      <c r="M275" s="12"/>
      <c r="N275" s="12"/>
      <c r="O275" s="14"/>
      <c r="P275" s="12"/>
      <c r="Q275" s="15"/>
      <c r="R275" s="15"/>
      <c r="S275" s="21"/>
      <c r="T275" s="12"/>
      <c r="U275" s="46"/>
      <c r="V275" s="23"/>
      <c r="W275" s="22" t="str">
        <f t="array" ref="W275">IF(A275="","",IFERROR(INDEX(PARAMETROS!$J$2:$J700,MATCH(H275,PARAMETROS!$E$2:$E700,0)),""))</f>
        <v/>
      </c>
      <c r="X275" s="23" t="str">
        <f t="shared" si="1"/>
        <v/>
      </c>
    </row>
    <row r="276" spans="1:24">
      <c r="A276" s="12"/>
      <c r="B276" s="12"/>
      <c r="C276" s="12"/>
      <c r="D276" s="12"/>
      <c r="E276" s="12"/>
      <c r="F276" s="12"/>
      <c r="G276" s="12"/>
      <c r="H276" s="12"/>
      <c r="I276" s="12"/>
      <c r="J276" s="14"/>
      <c r="K276" s="12"/>
      <c r="L276" s="14"/>
      <c r="M276" s="12"/>
      <c r="N276" s="12"/>
      <c r="O276" s="14"/>
      <c r="P276" s="12"/>
      <c r="Q276" s="15"/>
      <c r="R276" s="15"/>
      <c r="S276" s="21"/>
      <c r="T276" s="12"/>
      <c r="U276" s="46"/>
      <c r="V276" s="23"/>
      <c r="W276" s="22" t="str">
        <f t="array" ref="W276">IF(A276="","",IFERROR(INDEX(PARAMETROS!$J$2:$J700,MATCH(H276,PARAMETROS!$E$2:$E700,0)),""))</f>
        <v/>
      </c>
      <c r="X276" s="23" t="str">
        <f t="shared" si="1"/>
        <v/>
      </c>
    </row>
    <row r="277" spans="1:24">
      <c r="A277" s="12"/>
      <c r="B277" s="12"/>
      <c r="C277" s="12"/>
      <c r="D277" s="12"/>
      <c r="E277" s="12"/>
      <c r="F277" s="12"/>
      <c r="G277" s="12"/>
      <c r="H277" s="12"/>
      <c r="I277" s="12"/>
      <c r="J277" s="14"/>
      <c r="K277" s="12"/>
      <c r="L277" s="14"/>
      <c r="M277" s="12"/>
      <c r="N277" s="12"/>
      <c r="O277" s="14"/>
      <c r="P277" s="12"/>
      <c r="Q277" s="15"/>
      <c r="R277" s="15"/>
      <c r="S277" s="21"/>
      <c r="T277" s="12"/>
      <c r="U277" s="46"/>
      <c r="V277" s="23"/>
      <c r="W277" s="22" t="str">
        <f t="array" ref="W277">IF(A277="","",IFERROR(INDEX(PARAMETROS!$J$2:$J700,MATCH(H277,PARAMETROS!$E$2:$E700,0)),""))</f>
        <v/>
      </c>
      <c r="X277" s="23" t="str">
        <f t="shared" si="1"/>
        <v/>
      </c>
    </row>
    <row r="278" spans="1:24">
      <c r="A278" s="12"/>
      <c r="B278" s="12"/>
      <c r="C278" s="12"/>
      <c r="D278" s="12"/>
      <c r="E278" s="12"/>
      <c r="F278" s="12"/>
      <c r="G278" s="12"/>
      <c r="H278" s="12"/>
      <c r="I278" s="12"/>
      <c r="J278" s="14"/>
      <c r="K278" s="12"/>
      <c r="L278" s="14"/>
      <c r="M278" s="12"/>
      <c r="N278" s="12"/>
      <c r="O278" s="14"/>
      <c r="P278" s="12"/>
      <c r="Q278" s="15"/>
      <c r="R278" s="15"/>
      <c r="S278" s="21"/>
      <c r="T278" s="12"/>
      <c r="U278" s="46"/>
      <c r="V278" s="23"/>
      <c r="W278" s="22" t="str">
        <f t="array" ref="W278">IF(A278="","",IFERROR(INDEX(PARAMETROS!$J$2:$J700,MATCH(H278,PARAMETROS!$E$2:$E700,0)),""))</f>
        <v/>
      </c>
      <c r="X278" s="23" t="str">
        <f t="shared" si="1"/>
        <v/>
      </c>
    </row>
    <row r="279" spans="1:24">
      <c r="A279" s="12"/>
      <c r="B279" s="12"/>
      <c r="C279" s="12"/>
      <c r="D279" s="12"/>
      <c r="E279" s="12"/>
      <c r="F279" s="12"/>
      <c r="G279" s="12"/>
      <c r="H279" s="12"/>
      <c r="I279" s="12"/>
      <c r="J279" s="14"/>
      <c r="K279" s="12"/>
      <c r="L279" s="14"/>
      <c r="M279" s="12"/>
      <c r="N279" s="12"/>
      <c r="O279" s="14"/>
      <c r="P279" s="12"/>
      <c r="Q279" s="15"/>
      <c r="R279" s="15"/>
      <c r="S279" s="21"/>
      <c r="T279" s="12"/>
      <c r="U279" s="46"/>
      <c r="V279" s="23"/>
      <c r="W279" s="22" t="str">
        <f t="array" ref="W279">IF(A279="","",IFERROR(INDEX(PARAMETROS!$J$2:$J700,MATCH(H279,PARAMETROS!$E$2:$E700,0)),""))</f>
        <v/>
      </c>
      <c r="X279" s="23" t="str">
        <f t="shared" si="1"/>
        <v/>
      </c>
    </row>
    <row r="280" spans="1:24">
      <c r="A280" s="12"/>
      <c r="B280" s="12"/>
      <c r="C280" s="12"/>
      <c r="D280" s="12"/>
      <c r="E280" s="12"/>
      <c r="F280" s="12"/>
      <c r="G280" s="12"/>
      <c r="H280" s="12"/>
      <c r="I280" s="12"/>
      <c r="J280" s="14"/>
      <c r="K280" s="12"/>
      <c r="L280" s="14"/>
      <c r="M280" s="12"/>
      <c r="N280" s="12"/>
      <c r="O280" s="14"/>
      <c r="P280" s="12"/>
      <c r="Q280" s="15"/>
      <c r="R280" s="15"/>
      <c r="S280" s="21"/>
      <c r="T280" s="12"/>
      <c r="U280" s="46"/>
      <c r="V280" s="23"/>
      <c r="W280" s="22" t="str">
        <f t="array" ref="W280">IF(A280="","",IFERROR(INDEX(PARAMETROS!$J$2:$J700,MATCH(H280,PARAMETROS!$E$2:$E700,0)),""))</f>
        <v/>
      </c>
      <c r="X280" s="23" t="str">
        <f t="shared" si="1"/>
        <v/>
      </c>
    </row>
    <row r="281" spans="1:24">
      <c r="A281" s="12"/>
      <c r="B281" s="12"/>
      <c r="C281" s="12"/>
      <c r="D281" s="12"/>
      <c r="E281" s="12"/>
      <c r="F281" s="12"/>
      <c r="G281" s="12"/>
      <c r="H281" s="12"/>
      <c r="I281" s="12"/>
      <c r="J281" s="14"/>
      <c r="K281" s="12"/>
      <c r="L281" s="14"/>
      <c r="M281" s="12"/>
      <c r="N281" s="12"/>
      <c r="O281" s="14"/>
      <c r="P281" s="12"/>
      <c r="Q281" s="15"/>
      <c r="R281" s="15"/>
      <c r="S281" s="21"/>
      <c r="T281" s="12"/>
      <c r="U281" s="46"/>
      <c r="V281" s="23"/>
      <c r="W281" s="22" t="str">
        <f t="array" ref="W281">IF(A281="","",IFERROR(INDEX(PARAMETROS!$J$2:$J700,MATCH(H281,PARAMETROS!$E$2:$E700,0)),""))</f>
        <v/>
      </c>
      <c r="X281" s="23" t="str">
        <f t="shared" si="1"/>
        <v/>
      </c>
    </row>
    <row r="282" spans="1:24">
      <c r="A282" s="12"/>
      <c r="B282" s="12"/>
      <c r="C282" s="12"/>
      <c r="D282" s="12"/>
      <c r="E282" s="12"/>
      <c r="F282" s="12"/>
      <c r="G282" s="12"/>
      <c r="H282" s="12"/>
      <c r="I282" s="12"/>
      <c r="J282" s="14"/>
      <c r="K282" s="12"/>
      <c r="L282" s="14"/>
      <c r="M282" s="12"/>
      <c r="N282" s="12"/>
      <c r="O282" s="14"/>
      <c r="P282" s="12"/>
      <c r="Q282" s="15"/>
      <c r="R282" s="15"/>
      <c r="S282" s="21"/>
      <c r="T282" s="12"/>
      <c r="U282" s="46"/>
      <c r="V282" s="23"/>
      <c r="W282" s="22" t="str">
        <f t="array" ref="W282">IF(A282="","",IFERROR(INDEX(PARAMETROS!$J$2:$J700,MATCH(H282,PARAMETROS!$E$2:$E700,0)),""))</f>
        <v/>
      </c>
      <c r="X282" s="23" t="str">
        <f t="shared" si="1"/>
        <v/>
      </c>
    </row>
    <row r="283" spans="1:24">
      <c r="A283" s="12"/>
      <c r="B283" s="12"/>
      <c r="C283" s="12"/>
      <c r="D283" s="12"/>
      <c r="E283" s="12"/>
      <c r="F283" s="12"/>
      <c r="G283" s="12"/>
      <c r="H283" s="12"/>
      <c r="I283" s="12"/>
      <c r="J283" s="14"/>
      <c r="K283" s="12"/>
      <c r="L283" s="14"/>
      <c r="M283" s="12"/>
      <c r="N283" s="12"/>
      <c r="O283" s="14"/>
      <c r="P283" s="12"/>
      <c r="Q283" s="15"/>
      <c r="R283" s="15"/>
      <c r="S283" s="21"/>
      <c r="T283" s="12"/>
      <c r="U283" s="46"/>
      <c r="V283" s="23"/>
      <c r="W283" s="22" t="str">
        <f t="array" ref="W283">IF(A283="","",IFERROR(INDEX(PARAMETROS!$J$2:$J700,MATCH(H283,PARAMETROS!$E$2:$E700,0)),""))</f>
        <v/>
      </c>
      <c r="X283" s="23" t="str">
        <f t="shared" si="1"/>
        <v/>
      </c>
    </row>
    <row r="284" spans="1:24">
      <c r="A284" s="12"/>
      <c r="B284" s="12"/>
      <c r="C284" s="12"/>
      <c r="D284" s="12"/>
      <c r="E284" s="12"/>
      <c r="F284" s="12"/>
      <c r="G284" s="12"/>
      <c r="H284" s="12"/>
      <c r="I284" s="12"/>
      <c r="J284" s="14"/>
      <c r="K284" s="12"/>
      <c r="L284" s="14"/>
      <c r="M284" s="12"/>
      <c r="N284" s="12"/>
      <c r="O284" s="14"/>
      <c r="P284" s="12"/>
      <c r="Q284" s="15"/>
      <c r="R284" s="15"/>
      <c r="S284" s="21"/>
      <c r="T284" s="12"/>
      <c r="U284" s="46"/>
      <c r="V284" s="23"/>
      <c r="W284" s="22" t="str">
        <f t="array" ref="W284">IF(A284="","",IFERROR(INDEX(PARAMETROS!$J$2:$J700,MATCH(H284,PARAMETROS!$E$2:$E700,0)),""))</f>
        <v/>
      </c>
      <c r="X284" s="23" t="str">
        <f t="shared" si="1"/>
        <v/>
      </c>
    </row>
    <row r="285" spans="1:24">
      <c r="A285" s="12"/>
      <c r="B285" s="12"/>
      <c r="C285" s="12"/>
      <c r="D285" s="12"/>
      <c r="E285" s="12"/>
      <c r="F285" s="12"/>
      <c r="G285" s="12"/>
      <c r="H285" s="12"/>
      <c r="I285" s="12"/>
      <c r="J285" s="14"/>
      <c r="K285" s="12"/>
      <c r="L285" s="14"/>
      <c r="M285" s="12"/>
      <c r="N285" s="12"/>
      <c r="O285" s="14"/>
      <c r="P285" s="12"/>
      <c r="Q285" s="15"/>
      <c r="R285" s="15"/>
      <c r="S285" s="21"/>
      <c r="T285" s="12"/>
      <c r="U285" s="46"/>
      <c r="V285" s="23"/>
      <c r="W285" s="22" t="str">
        <f t="array" ref="W285">IF(A285="","",IFERROR(INDEX(PARAMETROS!$J$2:$J700,MATCH(H285,PARAMETROS!$E$2:$E700,0)),""))</f>
        <v/>
      </c>
      <c r="X285" s="23" t="str">
        <f t="shared" si="1"/>
        <v/>
      </c>
    </row>
    <row r="286" spans="1:24">
      <c r="A286" s="12"/>
      <c r="B286" s="12"/>
      <c r="C286" s="12"/>
      <c r="D286" s="12"/>
      <c r="E286" s="12"/>
      <c r="F286" s="12"/>
      <c r="G286" s="12"/>
      <c r="H286" s="12"/>
      <c r="I286" s="12"/>
      <c r="J286" s="14"/>
      <c r="K286" s="12"/>
      <c r="L286" s="14"/>
      <c r="M286" s="12"/>
      <c r="N286" s="12"/>
      <c r="O286" s="14"/>
      <c r="P286" s="12"/>
      <c r="Q286" s="15"/>
      <c r="R286" s="15"/>
      <c r="S286" s="21"/>
      <c r="T286" s="12"/>
      <c r="U286" s="46"/>
      <c r="V286" s="23"/>
      <c r="W286" s="22" t="str">
        <f t="array" ref="W286">IF(A286="","",IFERROR(INDEX(PARAMETROS!$J$2:$J700,MATCH(H286,PARAMETROS!$E$2:$E700,0)),""))</f>
        <v/>
      </c>
      <c r="X286" s="23" t="str">
        <f t="shared" si="1"/>
        <v/>
      </c>
    </row>
    <row r="287" spans="1:24">
      <c r="A287" s="12"/>
      <c r="B287" s="12"/>
      <c r="C287" s="12"/>
      <c r="D287" s="12"/>
      <c r="E287" s="12"/>
      <c r="F287" s="12"/>
      <c r="G287" s="12"/>
      <c r="H287" s="12"/>
      <c r="I287" s="12"/>
      <c r="J287" s="14"/>
      <c r="K287" s="12"/>
      <c r="L287" s="14"/>
      <c r="M287" s="12"/>
      <c r="N287" s="12"/>
      <c r="O287" s="14"/>
      <c r="P287" s="12"/>
      <c r="Q287" s="15"/>
      <c r="R287" s="15"/>
      <c r="S287" s="21"/>
      <c r="T287" s="12"/>
      <c r="U287" s="46"/>
      <c r="V287" s="23"/>
      <c r="W287" s="22" t="str">
        <f t="array" ref="W287">IF(A287="","",IFERROR(INDEX(PARAMETROS!$J$2:$J700,MATCH(H287,PARAMETROS!$E$2:$E700,0)),""))</f>
        <v/>
      </c>
      <c r="X287" s="23" t="str">
        <f t="shared" si="1"/>
        <v/>
      </c>
    </row>
    <row r="288" spans="1:24">
      <c r="A288" s="12"/>
      <c r="B288" s="12"/>
      <c r="C288" s="12"/>
      <c r="D288" s="12"/>
      <c r="E288" s="12"/>
      <c r="F288" s="12"/>
      <c r="G288" s="12"/>
      <c r="H288" s="12"/>
      <c r="I288" s="12"/>
      <c r="J288" s="14"/>
      <c r="K288" s="12"/>
      <c r="L288" s="14"/>
      <c r="M288" s="12"/>
      <c r="N288" s="12"/>
      <c r="O288" s="14"/>
      <c r="P288" s="12"/>
      <c r="Q288" s="15"/>
      <c r="R288" s="15"/>
      <c r="S288" s="21"/>
      <c r="T288" s="12"/>
      <c r="U288" s="46"/>
      <c r="V288" s="23"/>
      <c r="W288" s="22" t="str">
        <f t="array" ref="W288">IF(A288="","",IFERROR(INDEX(PARAMETROS!$J$2:$J700,MATCH(H288,PARAMETROS!$E$2:$E700,0)),""))</f>
        <v/>
      </c>
      <c r="X288" s="23" t="str">
        <f t="shared" si="1"/>
        <v/>
      </c>
    </row>
    <row r="289" spans="1:24">
      <c r="A289" s="12"/>
      <c r="B289" s="12"/>
      <c r="C289" s="12"/>
      <c r="D289" s="12"/>
      <c r="E289" s="12"/>
      <c r="F289" s="12"/>
      <c r="G289" s="12"/>
      <c r="H289" s="12"/>
      <c r="I289" s="12"/>
      <c r="J289" s="14"/>
      <c r="K289" s="12"/>
      <c r="L289" s="14"/>
      <c r="M289" s="12"/>
      <c r="N289" s="12"/>
      <c r="O289" s="14"/>
      <c r="P289" s="12"/>
      <c r="Q289" s="15"/>
      <c r="R289" s="15"/>
      <c r="S289" s="21"/>
      <c r="T289" s="12"/>
      <c r="U289" s="46"/>
      <c r="V289" s="23"/>
      <c r="W289" s="22" t="str">
        <f t="array" ref="W289">IF(A289="","",IFERROR(INDEX(PARAMETROS!$J$2:$J700,MATCH(H289,PARAMETROS!$E$2:$E700,0)),""))</f>
        <v/>
      </c>
      <c r="X289" s="23" t="str">
        <f t="shared" si="1"/>
        <v/>
      </c>
    </row>
    <row r="290" spans="1:24">
      <c r="A290" s="12"/>
      <c r="B290" s="12"/>
      <c r="C290" s="12"/>
      <c r="D290" s="12"/>
      <c r="E290" s="12"/>
      <c r="F290" s="12"/>
      <c r="G290" s="12"/>
      <c r="H290" s="12"/>
      <c r="I290" s="12"/>
      <c r="J290" s="14"/>
      <c r="K290" s="12"/>
      <c r="L290" s="14"/>
      <c r="M290" s="12"/>
      <c r="N290" s="12"/>
      <c r="O290" s="14"/>
      <c r="P290" s="12"/>
      <c r="Q290" s="15"/>
      <c r="R290" s="15"/>
      <c r="S290" s="21"/>
      <c r="T290" s="12"/>
      <c r="U290" s="46"/>
      <c r="V290" s="23"/>
      <c r="W290" s="22" t="str">
        <f t="array" ref="W290">IF(A290="","",IFERROR(INDEX(PARAMETROS!$J$2:$J700,MATCH(H290,PARAMETROS!$E$2:$E700,0)),""))</f>
        <v/>
      </c>
      <c r="X290" s="23" t="str">
        <f t="shared" si="1"/>
        <v/>
      </c>
    </row>
    <row r="291" spans="1:24">
      <c r="A291" s="12"/>
      <c r="B291" s="12"/>
      <c r="C291" s="12"/>
      <c r="D291" s="12"/>
      <c r="E291" s="12"/>
      <c r="F291" s="12"/>
      <c r="G291" s="12"/>
      <c r="H291" s="12"/>
      <c r="I291" s="12"/>
      <c r="J291" s="14"/>
      <c r="K291" s="12"/>
      <c r="L291" s="14"/>
      <c r="M291" s="12"/>
      <c r="N291" s="12"/>
      <c r="O291" s="14"/>
      <c r="P291" s="12"/>
      <c r="Q291" s="15"/>
      <c r="R291" s="15"/>
      <c r="S291" s="21"/>
      <c r="T291" s="12"/>
      <c r="U291" s="46"/>
      <c r="V291" s="23"/>
      <c r="W291" s="22" t="str">
        <f t="array" ref="W291">IF(A291="","",IFERROR(INDEX(PARAMETROS!$J$2:$J700,MATCH(H291,PARAMETROS!$E$2:$E700,0)),""))</f>
        <v/>
      </c>
      <c r="X291" s="23" t="str">
        <f t="shared" si="1"/>
        <v/>
      </c>
    </row>
    <row r="292" spans="1:24">
      <c r="A292" s="12"/>
      <c r="B292" s="12"/>
      <c r="C292" s="12"/>
      <c r="D292" s="12"/>
      <c r="E292" s="12"/>
      <c r="F292" s="12"/>
      <c r="G292" s="12"/>
      <c r="H292" s="12"/>
      <c r="I292" s="12"/>
      <c r="J292" s="14"/>
      <c r="K292" s="12"/>
      <c r="L292" s="14"/>
      <c r="M292" s="12"/>
      <c r="N292" s="12"/>
      <c r="O292" s="14"/>
      <c r="P292" s="12"/>
      <c r="Q292" s="15"/>
      <c r="R292" s="15"/>
      <c r="S292" s="21"/>
      <c r="T292" s="12"/>
      <c r="U292" s="46"/>
      <c r="V292" s="23"/>
      <c r="W292" s="22" t="str">
        <f t="array" ref="W292">IF(A292="","",IFERROR(INDEX(PARAMETROS!$J$2:$J700,MATCH(H292,PARAMETROS!$E$2:$E700,0)),""))</f>
        <v/>
      </c>
      <c r="X292" s="23" t="str">
        <f t="shared" si="1"/>
        <v/>
      </c>
    </row>
    <row r="293" spans="1:24">
      <c r="A293" s="12"/>
      <c r="B293" s="12"/>
      <c r="C293" s="12"/>
      <c r="D293" s="12"/>
      <c r="E293" s="12"/>
      <c r="F293" s="12"/>
      <c r="G293" s="12"/>
      <c r="H293" s="12"/>
      <c r="I293" s="12"/>
      <c r="J293" s="14"/>
      <c r="K293" s="12"/>
      <c r="L293" s="14"/>
      <c r="M293" s="12"/>
      <c r="N293" s="12"/>
      <c r="O293" s="14"/>
      <c r="P293" s="12"/>
      <c r="Q293" s="15"/>
      <c r="R293" s="15"/>
      <c r="S293" s="21"/>
      <c r="T293" s="12"/>
      <c r="U293" s="46"/>
      <c r="V293" s="23"/>
      <c r="W293" s="22" t="str">
        <f t="array" ref="W293">IF(A293="","",IFERROR(INDEX(PARAMETROS!$J$2:$J700,MATCH(H293,PARAMETROS!$E$2:$E700,0)),""))</f>
        <v/>
      </c>
      <c r="X293" s="23" t="str">
        <f t="shared" si="1"/>
        <v/>
      </c>
    </row>
    <row r="294" spans="1:24">
      <c r="A294" s="12"/>
      <c r="B294" s="12"/>
      <c r="C294" s="12"/>
      <c r="D294" s="12"/>
      <c r="E294" s="12"/>
      <c r="F294" s="12"/>
      <c r="G294" s="12"/>
      <c r="H294" s="12"/>
      <c r="I294" s="12"/>
      <c r="J294" s="14"/>
      <c r="K294" s="12"/>
      <c r="L294" s="14"/>
      <c r="M294" s="12"/>
      <c r="N294" s="12"/>
      <c r="O294" s="14"/>
      <c r="P294" s="12"/>
      <c r="Q294" s="15"/>
      <c r="R294" s="15"/>
      <c r="S294" s="21"/>
      <c r="T294" s="12"/>
      <c r="U294" s="46"/>
      <c r="V294" s="23"/>
      <c r="W294" s="22" t="str">
        <f t="array" ref="W294">IF(A294="","",IFERROR(INDEX(PARAMETROS!$J$2:$J700,MATCH(H294,PARAMETROS!$E$2:$E700,0)),""))</f>
        <v/>
      </c>
      <c r="X294" s="23" t="str">
        <f t="shared" si="1"/>
        <v/>
      </c>
    </row>
    <row r="295" spans="1:24">
      <c r="A295" s="12"/>
      <c r="B295" s="12"/>
      <c r="C295" s="12"/>
      <c r="D295" s="12"/>
      <c r="E295" s="12"/>
      <c r="F295" s="12"/>
      <c r="G295" s="12"/>
      <c r="H295" s="12"/>
      <c r="I295" s="12"/>
      <c r="J295" s="14"/>
      <c r="K295" s="12"/>
      <c r="L295" s="14"/>
      <c r="M295" s="12"/>
      <c r="N295" s="12"/>
      <c r="O295" s="14"/>
      <c r="P295" s="12"/>
      <c r="Q295" s="15"/>
      <c r="R295" s="15"/>
      <c r="S295" s="21"/>
      <c r="T295" s="12"/>
      <c r="U295" s="46"/>
      <c r="V295" s="23"/>
      <c r="W295" s="22" t="str">
        <f t="array" ref="W295">IF(A295="","",IFERROR(INDEX(PARAMETROS!$J$2:$J700,MATCH(H295,PARAMETROS!$E$2:$E700,0)),""))</f>
        <v/>
      </c>
      <c r="X295" s="23" t="str">
        <f t="shared" si="1"/>
        <v/>
      </c>
    </row>
    <row r="296" spans="1:24">
      <c r="A296" s="12"/>
      <c r="B296" s="12"/>
      <c r="C296" s="12"/>
      <c r="D296" s="12"/>
      <c r="E296" s="12"/>
      <c r="F296" s="12"/>
      <c r="G296" s="12"/>
      <c r="H296" s="12"/>
      <c r="I296" s="12"/>
      <c r="J296" s="14"/>
      <c r="K296" s="12"/>
      <c r="L296" s="14"/>
      <c r="M296" s="12"/>
      <c r="N296" s="12"/>
      <c r="O296" s="14"/>
      <c r="P296" s="12"/>
      <c r="Q296" s="15"/>
      <c r="R296" s="15"/>
      <c r="S296" s="21"/>
      <c r="T296" s="12"/>
      <c r="U296" s="46"/>
      <c r="V296" s="23"/>
      <c r="W296" s="22" t="str">
        <f t="array" ref="W296">IF(A296="","",IFERROR(INDEX(PARAMETROS!$J$2:$J700,MATCH(H296,PARAMETROS!$E$2:$E700,0)),""))</f>
        <v/>
      </c>
      <c r="X296" s="23" t="str">
        <f t="shared" si="1"/>
        <v/>
      </c>
    </row>
    <row r="297" spans="1:24">
      <c r="A297" s="12"/>
      <c r="B297" s="12"/>
      <c r="C297" s="12"/>
      <c r="D297" s="12"/>
      <c r="E297" s="12"/>
      <c r="F297" s="12"/>
      <c r="G297" s="12"/>
      <c r="H297" s="12"/>
      <c r="I297" s="12"/>
      <c r="J297" s="14"/>
      <c r="K297" s="12"/>
      <c r="L297" s="14"/>
      <c r="M297" s="12"/>
      <c r="N297" s="12"/>
      <c r="O297" s="14"/>
      <c r="P297" s="12"/>
      <c r="Q297" s="15"/>
      <c r="R297" s="15"/>
      <c r="S297" s="21"/>
      <c r="T297" s="12"/>
      <c r="U297" s="46"/>
      <c r="V297" s="23"/>
      <c r="W297" s="22" t="str">
        <f t="array" ref="W297">IF(A297="","",IFERROR(INDEX(PARAMETROS!$J$2:$J700,MATCH(H297,PARAMETROS!$E$2:$E700,0)),""))</f>
        <v/>
      </c>
      <c r="X297" s="23" t="str">
        <f t="shared" si="1"/>
        <v/>
      </c>
    </row>
    <row r="298" spans="1:24">
      <c r="A298" s="12"/>
      <c r="B298" s="12"/>
      <c r="C298" s="12"/>
      <c r="D298" s="12"/>
      <c r="E298" s="12"/>
      <c r="F298" s="12"/>
      <c r="G298" s="12"/>
      <c r="H298" s="12"/>
      <c r="I298" s="12"/>
      <c r="J298" s="14"/>
      <c r="K298" s="12"/>
      <c r="L298" s="14"/>
      <c r="M298" s="12"/>
      <c r="N298" s="12"/>
      <c r="O298" s="14"/>
      <c r="P298" s="12"/>
      <c r="Q298" s="15"/>
      <c r="R298" s="15"/>
      <c r="S298" s="21"/>
      <c r="T298" s="12"/>
      <c r="U298" s="46"/>
      <c r="V298" s="23"/>
      <c r="W298" s="22" t="str">
        <f t="array" ref="W298">IF(A298="","",IFERROR(INDEX(PARAMETROS!$J$2:$J700,MATCH(H298,PARAMETROS!$E$2:$E700,0)),""))</f>
        <v/>
      </c>
      <c r="X298" s="23" t="str">
        <f t="shared" si="1"/>
        <v/>
      </c>
    </row>
    <row r="299" spans="1:24">
      <c r="A299" s="12"/>
      <c r="B299" s="12"/>
      <c r="C299" s="12"/>
      <c r="D299" s="12"/>
      <c r="E299" s="12"/>
      <c r="F299" s="12"/>
      <c r="G299" s="12"/>
      <c r="H299" s="12"/>
      <c r="I299" s="12"/>
      <c r="J299" s="14"/>
      <c r="K299" s="12"/>
      <c r="L299" s="14"/>
      <c r="M299" s="12"/>
      <c r="N299" s="12"/>
      <c r="O299" s="14"/>
      <c r="P299" s="12"/>
      <c r="Q299" s="15"/>
      <c r="R299" s="15"/>
      <c r="S299" s="21"/>
      <c r="T299" s="12"/>
      <c r="U299" s="46"/>
      <c r="V299" s="23"/>
      <c r="W299" s="22" t="str">
        <f t="array" ref="W299">IF(A299="","",IFERROR(INDEX(PARAMETROS!$J$2:$J700,MATCH(H299,PARAMETROS!$E$2:$E700,0)),""))</f>
        <v/>
      </c>
      <c r="X299" s="23" t="str">
        <f t="shared" si="1"/>
        <v/>
      </c>
    </row>
    <row r="300" spans="1:24">
      <c r="A300" s="12"/>
      <c r="B300" s="12"/>
      <c r="C300" s="12"/>
      <c r="D300" s="12"/>
      <c r="E300" s="12"/>
      <c r="F300" s="12"/>
      <c r="G300" s="12"/>
      <c r="H300" s="12"/>
      <c r="I300" s="12"/>
      <c r="J300" s="14"/>
      <c r="K300" s="12"/>
      <c r="L300" s="14"/>
      <c r="M300" s="12"/>
      <c r="N300" s="12"/>
      <c r="O300" s="14"/>
      <c r="P300" s="12"/>
      <c r="Q300" s="15"/>
      <c r="R300" s="15"/>
      <c r="S300" s="21"/>
      <c r="T300" s="12"/>
      <c r="U300" s="46"/>
      <c r="V300" s="23"/>
      <c r="W300" s="22" t="str">
        <f t="array" ref="W300">IF(A300="","",IFERROR(INDEX(PARAMETROS!$J$2:$J700,MATCH(H300,PARAMETROS!$E$2:$E700,0)),""))</f>
        <v/>
      </c>
      <c r="X300" s="23" t="str">
        <f t="shared" si="1"/>
        <v/>
      </c>
    </row>
    <row r="301" spans="1:24">
      <c r="A301" s="12"/>
      <c r="B301" s="12"/>
      <c r="C301" s="12"/>
      <c r="D301" s="12"/>
      <c r="E301" s="12"/>
      <c r="F301" s="12"/>
      <c r="G301" s="12"/>
      <c r="H301" s="12"/>
      <c r="I301" s="12"/>
      <c r="J301" s="14"/>
      <c r="K301" s="12"/>
      <c r="L301" s="14"/>
      <c r="M301" s="12"/>
      <c r="N301" s="12"/>
      <c r="O301" s="14"/>
      <c r="P301" s="12"/>
      <c r="Q301" s="15"/>
      <c r="R301" s="15"/>
      <c r="S301" s="21"/>
      <c r="T301" s="12"/>
      <c r="U301" s="46"/>
      <c r="V301" s="23"/>
      <c r="W301" s="22" t="str">
        <f t="array" ref="W301">IF(A301="","",IFERROR(INDEX(PARAMETROS!$J$2:$J700,MATCH(H301,PARAMETROS!$E$2:$E700,0)),""))</f>
        <v/>
      </c>
      <c r="X301" s="23" t="str">
        <f t="shared" si="1"/>
        <v/>
      </c>
    </row>
    <row r="302" spans="1:24">
      <c r="A302" s="12"/>
      <c r="B302" s="12"/>
      <c r="C302" s="12"/>
      <c r="D302" s="12"/>
      <c r="E302" s="12"/>
      <c r="F302" s="12"/>
      <c r="G302" s="12"/>
      <c r="H302" s="12"/>
      <c r="I302" s="12"/>
      <c r="J302" s="14"/>
      <c r="K302" s="12"/>
      <c r="L302" s="14"/>
      <c r="M302" s="12"/>
      <c r="N302" s="12"/>
      <c r="O302" s="14"/>
      <c r="P302" s="12"/>
      <c r="Q302" s="15"/>
      <c r="R302" s="15"/>
      <c r="S302" s="21"/>
      <c r="T302" s="12"/>
      <c r="U302" s="46"/>
      <c r="V302" s="23"/>
      <c r="W302" s="22" t="str">
        <f t="array" ref="W302">IF(A302="","",IFERROR(INDEX(PARAMETROS!$J$2:$J700,MATCH(H302,PARAMETROS!$E$2:$E700,0)),""))</f>
        <v/>
      </c>
      <c r="X302" s="23" t="str">
        <f t="shared" si="1"/>
        <v/>
      </c>
    </row>
    <row r="303" spans="1:24">
      <c r="A303" s="12"/>
      <c r="B303" s="12"/>
      <c r="C303" s="12"/>
      <c r="D303" s="12"/>
      <c r="E303" s="12"/>
      <c r="F303" s="12"/>
      <c r="G303" s="12"/>
      <c r="H303" s="12"/>
      <c r="I303" s="12"/>
      <c r="J303" s="14"/>
      <c r="K303" s="12"/>
      <c r="L303" s="14"/>
      <c r="M303" s="12"/>
      <c r="N303" s="12"/>
      <c r="O303" s="14"/>
      <c r="P303" s="12"/>
      <c r="Q303" s="15"/>
      <c r="R303" s="15"/>
      <c r="S303" s="21"/>
      <c r="T303" s="12"/>
      <c r="U303" s="46"/>
      <c r="V303" s="23"/>
      <c r="W303" s="22" t="str">
        <f t="array" ref="W303">IF(A303="","",IFERROR(INDEX(PARAMETROS!$J$2:$J700,MATCH(H303,PARAMETROS!$E$2:$E700,0)),""))</f>
        <v/>
      </c>
      <c r="X303" s="23" t="str">
        <f t="shared" si="1"/>
        <v/>
      </c>
    </row>
    <row r="304" spans="1:24">
      <c r="A304" s="12"/>
      <c r="B304" s="12"/>
      <c r="C304" s="12"/>
      <c r="D304" s="12"/>
      <c r="E304" s="12"/>
      <c r="F304" s="12"/>
      <c r="G304" s="12"/>
      <c r="H304" s="12"/>
      <c r="I304" s="12"/>
      <c r="J304" s="14"/>
      <c r="K304" s="12"/>
      <c r="L304" s="14"/>
      <c r="M304" s="12"/>
      <c r="N304" s="12"/>
      <c r="O304" s="14"/>
      <c r="P304" s="12"/>
      <c r="Q304" s="15"/>
      <c r="R304" s="15"/>
      <c r="S304" s="21"/>
      <c r="T304" s="12"/>
      <c r="U304" s="46"/>
      <c r="V304" s="23"/>
      <c r="W304" s="22" t="str">
        <f t="array" ref="W304">IF(A304="","",IFERROR(INDEX(PARAMETROS!$J$2:$J700,MATCH(H304,PARAMETROS!$E$2:$E700,0)),""))</f>
        <v/>
      </c>
      <c r="X304" s="23" t="str">
        <f t="shared" si="1"/>
        <v/>
      </c>
    </row>
    <row r="305" spans="1:24">
      <c r="A305" s="12"/>
      <c r="B305" s="12"/>
      <c r="C305" s="12"/>
      <c r="D305" s="12"/>
      <c r="E305" s="12"/>
      <c r="F305" s="12"/>
      <c r="G305" s="12"/>
      <c r="H305" s="12"/>
      <c r="I305" s="12"/>
      <c r="J305" s="14"/>
      <c r="K305" s="12"/>
      <c r="L305" s="14"/>
      <c r="M305" s="12"/>
      <c r="N305" s="12"/>
      <c r="O305" s="14"/>
      <c r="P305" s="12"/>
      <c r="Q305" s="15"/>
      <c r="R305" s="15"/>
      <c r="S305" s="21"/>
      <c r="T305" s="12"/>
      <c r="U305" s="46"/>
      <c r="V305" s="23"/>
      <c r="W305" s="22" t="str">
        <f t="array" ref="W305">IF(A305="","",IFERROR(INDEX(PARAMETROS!$J$2:$J700,MATCH(H305,PARAMETROS!$E$2:$E700,0)),""))</f>
        <v/>
      </c>
      <c r="X305" s="23" t="str">
        <f t="shared" si="1"/>
        <v/>
      </c>
    </row>
    <row r="306" spans="1:24">
      <c r="A306" s="12"/>
      <c r="B306" s="12"/>
      <c r="C306" s="12"/>
      <c r="D306" s="12"/>
      <c r="E306" s="12"/>
      <c r="F306" s="12"/>
      <c r="G306" s="12"/>
      <c r="H306" s="12"/>
      <c r="I306" s="12"/>
      <c r="J306" s="14"/>
      <c r="K306" s="12"/>
      <c r="L306" s="14"/>
      <c r="M306" s="12"/>
      <c r="N306" s="12"/>
      <c r="O306" s="14"/>
      <c r="P306" s="12"/>
      <c r="Q306" s="15"/>
      <c r="R306" s="15"/>
      <c r="S306" s="21"/>
      <c r="T306" s="12"/>
      <c r="U306" s="46"/>
      <c r="V306" s="23"/>
      <c r="W306" s="22" t="str">
        <f t="array" ref="W306">IF(A306="","",IFERROR(INDEX(PARAMETROS!$J$2:$J700,MATCH(H306,PARAMETROS!$E$2:$E700,0)),""))</f>
        <v/>
      </c>
      <c r="X306" s="23" t="str">
        <f t="shared" si="1"/>
        <v/>
      </c>
    </row>
    <row r="307" spans="1:24">
      <c r="A307" s="12"/>
      <c r="B307" s="12"/>
      <c r="C307" s="12"/>
      <c r="D307" s="12"/>
      <c r="E307" s="12"/>
      <c r="F307" s="12"/>
      <c r="G307" s="12"/>
      <c r="H307" s="12"/>
      <c r="I307" s="12"/>
      <c r="J307" s="14"/>
      <c r="K307" s="12"/>
      <c r="L307" s="14"/>
      <c r="M307" s="12"/>
      <c r="N307" s="12"/>
      <c r="O307" s="14"/>
      <c r="P307" s="12"/>
      <c r="Q307" s="15"/>
      <c r="R307" s="15"/>
      <c r="S307" s="21"/>
      <c r="T307" s="12"/>
      <c r="U307" s="46"/>
      <c r="V307" s="23"/>
      <c r="W307" s="22" t="str">
        <f t="array" ref="W307">IF(A307="","",IFERROR(INDEX(PARAMETROS!$J$2:$J700,MATCH(H307,PARAMETROS!$E$2:$E700,0)),""))</f>
        <v/>
      </c>
      <c r="X307" s="23" t="str">
        <f t="shared" si="1"/>
        <v/>
      </c>
    </row>
    <row r="308" spans="1:24">
      <c r="A308" s="12"/>
      <c r="B308" s="12"/>
      <c r="C308" s="12"/>
      <c r="D308" s="12"/>
      <c r="E308" s="12"/>
      <c r="F308" s="12"/>
      <c r="G308" s="12"/>
      <c r="H308" s="12"/>
      <c r="I308" s="12"/>
      <c r="J308" s="14"/>
      <c r="K308" s="12"/>
      <c r="L308" s="14"/>
      <c r="M308" s="12"/>
      <c r="N308" s="12"/>
      <c r="O308" s="14"/>
      <c r="P308" s="12"/>
      <c r="Q308" s="15"/>
      <c r="R308" s="15"/>
      <c r="S308" s="21"/>
      <c r="T308" s="12"/>
      <c r="U308" s="46"/>
      <c r="V308" s="23"/>
      <c r="W308" s="22" t="str">
        <f t="array" ref="W308">IF(A308="","",IFERROR(INDEX(PARAMETROS!$J$2:$J700,MATCH(H308,PARAMETROS!$E$2:$E700,0)),""))</f>
        <v/>
      </c>
      <c r="X308" s="23" t="str">
        <f t="shared" si="1"/>
        <v/>
      </c>
    </row>
    <row r="309" spans="1:24">
      <c r="A309" s="12"/>
      <c r="B309" s="12"/>
      <c r="C309" s="12"/>
      <c r="D309" s="12"/>
      <c r="E309" s="12"/>
      <c r="F309" s="12"/>
      <c r="G309" s="12"/>
      <c r="H309" s="12"/>
      <c r="I309" s="12"/>
      <c r="J309" s="14"/>
      <c r="K309" s="12"/>
      <c r="L309" s="14"/>
      <c r="M309" s="12"/>
      <c r="N309" s="12"/>
      <c r="O309" s="14"/>
      <c r="P309" s="12"/>
      <c r="Q309" s="15"/>
      <c r="R309" s="15"/>
      <c r="S309" s="21"/>
      <c r="T309" s="12"/>
      <c r="U309" s="46"/>
      <c r="V309" s="23"/>
      <c r="W309" s="22" t="str">
        <f t="array" ref="W309">IF(A309="","",IFERROR(INDEX(PARAMETROS!$J$2:$J700,MATCH(H309,PARAMETROS!$E$2:$E700,0)),""))</f>
        <v/>
      </c>
      <c r="X309" s="23" t="str">
        <f t="shared" si="1"/>
        <v/>
      </c>
    </row>
    <row r="310" spans="1:24">
      <c r="A310" s="12"/>
      <c r="B310" s="12"/>
      <c r="C310" s="12"/>
      <c r="D310" s="12"/>
      <c r="E310" s="12"/>
      <c r="F310" s="12"/>
      <c r="G310" s="12"/>
      <c r="H310" s="12"/>
      <c r="I310" s="12"/>
      <c r="J310" s="14"/>
      <c r="K310" s="12"/>
      <c r="L310" s="14"/>
      <c r="M310" s="12"/>
      <c r="N310" s="12"/>
      <c r="O310" s="14"/>
      <c r="P310" s="12"/>
      <c r="Q310" s="15"/>
      <c r="R310" s="15"/>
      <c r="S310" s="21"/>
      <c r="T310" s="12"/>
      <c r="U310" s="46"/>
      <c r="V310" s="23"/>
      <c r="W310" s="22" t="str">
        <f t="array" ref="W310">IF(A310="","",IFERROR(INDEX(PARAMETROS!$J$2:$J700,MATCH(H310,PARAMETROS!$E$2:$E700,0)),""))</f>
        <v/>
      </c>
      <c r="X310" s="23" t="str">
        <f t="shared" si="1"/>
        <v/>
      </c>
    </row>
    <row r="311" spans="1:24">
      <c r="A311" s="12"/>
      <c r="B311" s="12"/>
      <c r="C311" s="12"/>
      <c r="D311" s="12"/>
      <c r="E311" s="12"/>
      <c r="F311" s="12"/>
      <c r="G311" s="12"/>
      <c r="H311" s="12"/>
      <c r="I311" s="12"/>
      <c r="J311" s="14"/>
      <c r="K311" s="12"/>
      <c r="L311" s="14"/>
      <c r="M311" s="12"/>
      <c r="N311" s="12"/>
      <c r="O311" s="14"/>
      <c r="P311" s="12"/>
      <c r="Q311" s="15"/>
      <c r="R311" s="15"/>
      <c r="S311" s="21"/>
      <c r="T311" s="12"/>
      <c r="U311" s="46"/>
      <c r="V311" s="23"/>
      <c r="W311" s="22" t="str">
        <f t="array" ref="W311">IF(A311="","",IFERROR(INDEX(PARAMETROS!$J$2:$J700,MATCH(H311,PARAMETROS!$E$2:$E700,0)),""))</f>
        <v/>
      </c>
      <c r="X311" s="23" t="str">
        <f t="shared" si="1"/>
        <v/>
      </c>
    </row>
    <row r="312" spans="1:24">
      <c r="A312" s="12"/>
      <c r="B312" s="12"/>
      <c r="C312" s="12"/>
      <c r="D312" s="12"/>
      <c r="E312" s="12"/>
      <c r="F312" s="12"/>
      <c r="G312" s="12"/>
      <c r="H312" s="12"/>
      <c r="I312" s="12"/>
      <c r="J312" s="14"/>
      <c r="K312" s="12"/>
      <c r="L312" s="14"/>
      <c r="M312" s="12"/>
      <c r="N312" s="12"/>
      <c r="O312" s="14"/>
      <c r="P312" s="12"/>
      <c r="Q312" s="15"/>
      <c r="R312" s="15"/>
      <c r="S312" s="21"/>
      <c r="T312" s="12"/>
      <c r="U312" s="46"/>
      <c r="V312" s="23"/>
      <c r="W312" s="22" t="str">
        <f t="array" ref="W312">IF(A312="","",IFERROR(INDEX(PARAMETROS!$J$2:$J700,MATCH(H312,PARAMETROS!$E$2:$E700,0)),""))</f>
        <v/>
      </c>
      <c r="X312" s="23" t="str">
        <f t="shared" si="1"/>
        <v/>
      </c>
    </row>
    <row r="313" spans="1:24">
      <c r="A313" s="12"/>
      <c r="B313" s="12"/>
      <c r="C313" s="12"/>
      <c r="D313" s="12"/>
      <c r="E313" s="12"/>
      <c r="F313" s="12"/>
      <c r="G313" s="12"/>
      <c r="H313" s="12"/>
      <c r="I313" s="12"/>
      <c r="J313" s="14"/>
      <c r="K313" s="12"/>
      <c r="L313" s="14"/>
      <c r="M313" s="12"/>
      <c r="N313" s="12"/>
      <c r="O313" s="14"/>
      <c r="P313" s="12"/>
      <c r="Q313" s="15"/>
      <c r="R313" s="15"/>
      <c r="S313" s="21"/>
      <c r="T313" s="12"/>
      <c r="U313" s="46"/>
      <c r="V313" s="23"/>
      <c r="W313" s="22" t="str">
        <f t="array" ref="W313">IF(A313="","",IFERROR(INDEX(PARAMETROS!$J$2:$J700,MATCH(H313,PARAMETROS!$E$2:$E700,0)),""))</f>
        <v/>
      </c>
      <c r="X313" s="23" t="str">
        <f t="shared" si="1"/>
        <v/>
      </c>
    </row>
    <row r="314" spans="1:24">
      <c r="A314" s="12"/>
      <c r="B314" s="12"/>
      <c r="C314" s="12"/>
      <c r="D314" s="12"/>
      <c r="E314" s="12"/>
      <c r="F314" s="12"/>
      <c r="G314" s="12"/>
      <c r="H314" s="12"/>
      <c r="I314" s="12"/>
      <c r="J314" s="14"/>
      <c r="K314" s="12"/>
      <c r="L314" s="14"/>
      <c r="M314" s="12"/>
      <c r="N314" s="12"/>
      <c r="O314" s="14"/>
      <c r="P314" s="12"/>
      <c r="Q314" s="15"/>
      <c r="R314" s="15"/>
      <c r="S314" s="21"/>
      <c r="T314" s="12"/>
      <c r="U314" s="46"/>
      <c r="V314" s="23"/>
      <c r="W314" s="22" t="str">
        <f t="array" ref="W314">IF(A314="","",IFERROR(INDEX(PARAMETROS!$J$2:$J700,MATCH(H314,PARAMETROS!$E$2:$E700,0)),""))</f>
        <v/>
      </c>
      <c r="X314" s="23" t="str">
        <f t="shared" si="1"/>
        <v/>
      </c>
    </row>
    <row r="315" spans="1:24">
      <c r="A315" s="12"/>
      <c r="B315" s="12"/>
      <c r="C315" s="12"/>
      <c r="D315" s="12"/>
      <c r="E315" s="12"/>
      <c r="F315" s="12"/>
      <c r="G315" s="12"/>
      <c r="H315" s="12"/>
      <c r="I315" s="12"/>
      <c r="J315" s="14"/>
      <c r="K315" s="12"/>
      <c r="L315" s="14"/>
      <c r="M315" s="12"/>
      <c r="N315" s="12"/>
      <c r="O315" s="14"/>
      <c r="P315" s="12"/>
      <c r="Q315" s="15"/>
      <c r="R315" s="15"/>
      <c r="S315" s="21"/>
      <c r="T315" s="12"/>
      <c r="U315" s="46"/>
      <c r="V315" s="23"/>
      <c r="W315" s="22" t="str">
        <f t="array" ref="W315">IF(A315="","",IFERROR(INDEX(PARAMETROS!$J$2:$J700,MATCH(H315,PARAMETROS!$E$2:$E700,0)),""))</f>
        <v/>
      </c>
      <c r="X315" s="23" t="str">
        <f t="shared" si="1"/>
        <v/>
      </c>
    </row>
    <row r="316" spans="1:24">
      <c r="A316" s="12"/>
      <c r="B316" s="12"/>
      <c r="C316" s="12"/>
      <c r="D316" s="12"/>
      <c r="E316" s="12"/>
      <c r="F316" s="12"/>
      <c r="G316" s="12"/>
      <c r="H316" s="12"/>
      <c r="I316" s="12"/>
      <c r="J316" s="14"/>
      <c r="K316" s="12"/>
      <c r="L316" s="14"/>
      <c r="M316" s="12"/>
      <c r="N316" s="12"/>
      <c r="O316" s="14"/>
      <c r="P316" s="12"/>
      <c r="Q316" s="15"/>
      <c r="R316" s="15"/>
      <c r="S316" s="21"/>
      <c r="T316" s="12"/>
      <c r="U316" s="46"/>
      <c r="V316" s="23"/>
      <c r="W316" s="22" t="str">
        <f t="array" ref="W316">IF(A316="","",IFERROR(INDEX(PARAMETROS!$J$2:$J700,MATCH(H316,PARAMETROS!$E$2:$E700,0)),""))</f>
        <v/>
      </c>
      <c r="X316" s="23" t="str">
        <f t="shared" si="1"/>
        <v/>
      </c>
    </row>
    <row r="317" spans="1:24">
      <c r="A317" s="12"/>
      <c r="B317" s="12"/>
      <c r="C317" s="12"/>
      <c r="D317" s="12"/>
      <c r="E317" s="12"/>
      <c r="F317" s="12"/>
      <c r="G317" s="12"/>
      <c r="H317" s="12"/>
      <c r="I317" s="12"/>
      <c r="J317" s="14"/>
      <c r="K317" s="12"/>
      <c r="L317" s="14"/>
      <c r="M317" s="12"/>
      <c r="N317" s="12"/>
      <c r="O317" s="14"/>
      <c r="P317" s="12"/>
      <c r="Q317" s="15"/>
      <c r="R317" s="15"/>
      <c r="S317" s="21"/>
      <c r="T317" s="12"/>
      <c r="U317" s="46"/>
      <c r="V317" s="23"/>
      <c r="W317" s="22" t="str">
        <f t="array" ref="W317">IF(A317="","",IFERROR(INDEX(PARAMETROS!$J$2:$J700,MATCH(H317,PARAMETROS!$E$2:$E700,0)),""))</f>
        <v/>
      </c>
      <c r="X317" s="23" t="str">
        <f t="shared" si="1"/>
        <v/>
      </c>
    </row>
    <row r="318" spans="1:24">
      <c r="A318" s="12"/>
      <c r="B318" s="12"/>
      <c r="C318" s="12"/>
      <c r="D318" s="12"/>
      <c r="E318" s="12"/>
      <c r="F318" s="12"/>
      <c r="G318" s="12"/>
      <c r="H318" s="12"/>
      <c r="I318" s="12"/>
      <c r="J318" s="14"/>
      <c r="K318" s="12"/>
      <c r="L318" s="14"/>
      <c r="M318" s="12"/>
      <c r="N318" s="12"/>
      <c r="O318" s="14"/>
      <c r="P318" s="12"/>
      <c r="Q318" s="15"/>
      <c r="R318" s="15"/>
      <c r="S318" s="21"/>
      <c r="T318" s="12"/>
      <c r="U318" s="46"/>
      <c r="V318" s="23"/>
      <c r="W318" s="22" t="str">
        <f t="array" ref="W318">IF(A318="","",IFERROR(INDEX(PARAMETROS!$J$2:$J700,MATCH(H318,PARAMETROS!$E$2:$E700,0)),""))</f>
        <v/>
      </c>
      <c r="X318" s="23" t="str">
        <f t="shared" si="1"/>
        <v/>
      </c>
    </row>
    <row r="319" spans="1:24">
      <c r="A319" s="12"/>
      <c r="B319" s="12"/>
      <c r="C319" s="12"/>
      <c r="D319" s="12"/>
      <c r="E319" s="12"/>
      <c r="F319" s="12"/>
      <c r="G319" s="12"/>
      <c r="H319" s="12"/>
      <c r="I319" s="12"/>
      <c r="J319" s="14"/>
      <c r="K319" s="12"/>
      <c r="L319" s="14"/>
      <c r="M319" s="12"/>
      <c r="N319" s="12"/>
      <c r="O319" s="14"/>
      <c r="P319" s="12"/>
      <c r="Q319" s="15"/>
      <c r="R319" s="15"/>
      <c r="S319" s="21"/>
      <c r="T319" s="12"/>
      <c r="U319" s="46"/>
      <c r="V319" s="23"/>
      <c r="W319" s="22" t="str">
        <f t="array" ref="W319">IF(A319="","",IFERROR(INDEX(PARAMETROS!$J$2:$J700,MATCH(H319,PARAMETROS!$E$2:$E700,0)),""))</f>
        <v/>
      </c>
      <c r="X319" s="23" t="str">
        <f t="shared" si="1"/>
        <v/>
      </c>
    </row>
    <row r="320" spans="1:24">
      <c r="A320" s="12"/>
      <c r="B320" s="12"/>
      <c r="C320" s="12"/>
      <c r="D320" s="12"/>
      <c r="E320" s="12"/>
      <c r="F320" s="12"/>
      <c r="G320" s="12"/>
      <c r="H320" s="12"/>
      <c r="I320" s="12"/>
      <c r="J320" s="14"/>
      <c r="K320" s="12"/>
      <c r="L320" s="14"/>
      <c r="M320" s="12"/>
      <c r="N320" s="12"/>
      <c r="O320" s="14"/>
      <c r="P320" s="12"/>
      <c r="Q320" s="15"/>
      <c r="R320" s="15"/>
      <c r="S320" s="21"/>
      <c r="T320" s="12"/>
      <c r="U320" s="46"/>
      <c r="V320" s="23"/>
      <c r="W320" s="22" t="str">
        <f t="array" ref="W320">IF(A320="","",IFERROR(INDEX(PARAMETROS!$J$2:$J700,MATCH(H320,PARAMETROS!$E$2:$E700,0)),""))</f>
        <v/>
      </c>
      <c r="X320" s="23" t="str">
        <f t="shared" si="1"/>
        <v/>
      </c>
    </row>
    <row r="321" spans="1:24">
      <c r="A321" s="12"/>
      <c r="B321" s="12"/>
      <c r="C321" s="12"/>
      <c r="D321" s="12"/>
      <c r="E321" s="12"/>
      <c r="F321" s="12"/>
      <c r="G321" s="12"/>
      <c r="H321" s="12"/>
      <c r="I321" s="12"/>
      <c r="J321" s="14"/>
      <c r="K321" s="12"/>
      <c r="L321" s="14"/>
      <c r="M321" s="12"/>
      <c r="N321" s="12"/>
      <c r="O321" s="14"/>
      <c r="P321" s="12"/>
      <c r="Q321" s="15"/>
      <c r="R321" s="15"/>
      <c r="S321" s="21"/>
      <c r="T321" s="12"/>
      <c r="U321" s="46"/>
      <c r="V321" s="23"/>
      <c r="W321" s="22" t="str">
        <f t="array" ref="W321">IF(A321="","",IFERROR(INDEX(PARAMETROS!$J$2:$J700,MATCH(H321,PARAMETROS!$E$2:$E700,0)),""))</f>
        <v/>
      </c>
      <c r="X321" s="23" t="str">
        <f t="shared" si="1"/>
        <v/>
      </c>
    </row>
    <row r="322" spans="1:24">
      <c r="A322" s="12"/>
      <c r="B322" s="12"/>
      <c r="C322" s="12"/>
      <c r="D322" s="12"/>
      <c r="E322" s="12"/>
      <c r="F322" s="12"/>
      <c r="G322" s="12"/>
      <c r="H322" s="12"/>
      <c r="I322" s="12"/>
      <c r="J322" s="14"/>
      <c r="K322" s="12"/>
      <c r="L322" s="14"/>
      <c r="M322" s="12"/>
      <c r="N322" s="12"/>
      <c r="O322" s="14"/>
      <c r="P322" s="12"/>
      <c r="Q322" s="15"/>
      <c r="R322" s="15"/>
      <c r="S322" s="21"/>
      <c r="T322" s="12"/>
      <c r="U322" s="46"/>
      <c r="V322" s="23"/>
      <c r="W322" s="22" t="str">
        <f t="array" ref="W322">IF(A322="","",IFERROR(INDEX(PARAMETROS!$J$2:$J700,MATCH(H322,PARAMETROS!$E$2:$E700,0)),""))</f>
        <v/>
      </c>
      <c r="X322" s="23" t="str">
        <f t="shared" si="1"/>
        <v/>
      </c>
    </row>
    <row r="323" spans="1:24">
      <c r="A323" s="12"/>
      <c r="B323" s="12"/>
      <c r="C323" s="12"/>
      <c r="D323" s="12"/>
      <c r="E323" s="12"/>
      <c r="F323" s="12"/>
      <c r="G323" s="12"/>
      <c r="H323" s="12"/>
      <c r="I323" s="12"/>
      <c r="J323" s="14"/>
      <c r="K323" s="12"/>
      <c r="L323" s="14"/>
      <c r="M323" s="12"/>
      <c r="N323" s="12"/>
      <c r="O323" s="14"/>
      <c r="P323" s="12"/>
      <c r="Q323" s="15"/>
      <c r="R323" s="15"/>
      <c r="S323" s="21"/>
      <c r="T323" s="12"/>
      <c r="U323" s="46"/>
      <c r="V323" s="23"/>
      <c r="W323" s="22" t="str">
        <f t="array" ref="W323">IF(A323="","",IFERROR(INDEX(PARAMETROS!$J$2:$J700,MATCH(H323,PARAMETROS!$E$2:$E700,0)),""))</f>
        <v/>
      </c>
      <c r="X323" s="23" t="str">
        <f t="shared" si="1"/>
        <v/>
      </c>
    </row>
    <row r="324" spans="1:24">
      <c r="A324" s="12"/>
      <c r="B324" s="12"/>
      <c r="C324" s="12"/>
      <c r="D324" s="12"/>
      <c r="E324" s="12"/>
      <c r="F324" s="12"/>
      <c r="G324" s="12"/>
      <c r="H324" s="12"/>
      <c r="I324" s="12"/>
      <c r="J324" s="14"/>
      <c r="K324" s="12"/>
      <c r="L324" s="14"/>
      <c r="M324" s="12"/>
      <c r="N324" s="12"/>
      <c r="O324" s="14"/>
      <c r="P324" s="12"/>
      <c r="Q324" s="15"/>
      <c r="R324" s="15"/>
      <c r="S324" s="21"/>
      <c r="T324" s="12"/>
      <c r="U324" s="46"/>
      <c r="V324" s="23"/>
      <c r="W324" s="22" t="str">
        <f t="array" ref="W324">IF(A324="","",IFERROR(INDEX(PARAMETROS!$J$2:$J700,MATCH(H324,PARAMETROS!$E$2:$E700,0)),""))</f>
        <v/>
      </c>
      <c r="X324" s="23" t="str">
        <f t="shared" si="1"/>
        <v/>
      </c>
    </row>
    <row r="325" spans="1:24">
      <c r="A325" s="12"/>
      <c r="B325" s="12"/>
      <c r="C325" s="12"/>
      <c r="D325" s="12"/>
      <c r="E325" s="12"/>
      <c r="F325" s="12"/>
      <c r="G325" s="12"/>
      <c r="H325" s="12"/>
      <c r="I325" s="12"/>
      <c r="J325" s="14"/>
      <c r="K325" s="12"/>
      <c r="L325" s="14"/>
      <c r="M325" s="12"/>
      <c r="N325" s="12"/>
      <c r="O325" s="14"/>
      <c r="P325" s="12"/>
      <c r="Q325" s="15"/>
      <c r="R325" s="15"/>
      <c r="S325" s="21"/>
      <c r="T325" s="12"/>
      <c r="U325" s="46"/>
      <c r="V325" s="23"/>
      <c r="W325" s="22" t="str">
        <f t="array" ref="W325">IF(A325="","",IFERROR(INDEX(PARAMETROS!$J$2:$J700,MATCH(H325,PARAMETROS!$E$2:$E700,0)),""))</f>
        <v/>
      </c>
      <c r="X325" s="23" t="str">
        <f t="shared" si="1"/>
        <v/>
      </c>
    </row>
    <row r="326" spans="1:24">
      <c r="A326" s="12"/>
      <c r="B326" s="12"/>
      <c r="C326" s="12"/>
      <c r="D326" s="12"/>
      <c r="E326" s="12"/>
      <c r="F326" s="12"/>
      <c r="G326" s="12"/>
      <c r="H326" s="12"/>
      <c r="I326" s="12"/>
      <c r="J326" s="14"/>
      <c r="K326" s="12"/>
      <c r="L326" s="14"/>
      <c r="M326" s="12"/>
      <c r="N326" s="12"/>
      <c r="O326" s="14"/>
      <c r="P326" s="12"/>
      <c r="Q326" s="15"/>
      <c r="R326" s="15"/>
      <c r="S326" s="21"/>
      <c r="T326" s="12"/>
      <c r="U326" s="46"/>
      <c r="V326" s="23"/>
      <c r="W326" s="22" t="str">
        <f t="array" ref="W326">IF(A326="","",IFERROR(INDEX(PARAMETROS!$J$2:$J700,MATCH(H326,PARAMETROS!$E$2:$E700,0)),""))</f>
        <v/>
      </c>
      <c r="X326" s="23" t="str">
        <f t="shared" si="1"/>
        <v/>
      </c>
    </row>
    <row r="327" spans="1:24">
      <c r="A327" s="12"/>
      <c r="B327" s="12"/>
      <c r="C327" s="12"/>
      <c r="D327" s="12"/>
      <c r="E327" s="12"/>
      <c r="F327" s="12"/>
      <c r="G327" s="12"/>
      <c r="H327" s="12"/>
      <c r="I327" s="12"/>
      <c r="J327" s="14"/>
      <c r="K327" s="12"/>
      <c r="L327" s="14"/>
      <c r="M327" s="12"/>
      <c r="N327" s="12"/>
      <c r="O327" s="14"/>
      <c r="P327" s="12"/>
      <c r="Q327" s="15"/>
      <c r="R327" s="15"/>
      <c r="S327" s="21"/>
      <c r="T327" s="12"/>
      <c r="U327" s="46"/>
      <c r="V327" s="23"/>
      <c r="W327" s="22" t="str">
        <f t="array" ref="W327">IF(A327="","",IFERROR(INDEX(PARAMETROS!$J$2:$J700,MATCH(H327,PARAMETROS!$E$2:$E700,0)),""))</f>
        <v/>
      </c>
      <c r="X327" s="23" t="str">
        <f t="shared" si="1"/>
        <v/>
      </c>
    </row>
    <row r="328" spans="1:24">
      <c r="A328" s="12"/>
      <c r="B328" s="12"/>
      <c r="C328" s="12"/>
      <c r="D328" s="12"/>
      <c r="E328" s="12"/>
      <c r="F328" s="12"/>
      <c r="G328" s="12"/>
      <c r="H328" s="12"/>
      <c r="I328" s="12"/>
      <c r="J328" s="14"/>
      <c r="K328" s="12"/>
      <c r="L328" s="14"/>
      <c r="M328" s="12"/>
      <c r="N328" s="12"/>
      <c r="O328" s="14"/>
      <c r="P328" s="12"/>
      <c r="Q328" s="15"/>
      <c r="R328" s="15"/>
      <c r="S328" s="21"/>
      <c r="T328" s="12"/>
      <c r="U328" s="46"/>
      <c r="V328" s="23"/>
      <c r="W328" s="22" t="str">
        <f t="array" ref="W328">IF(A328="","",IFERROR(INDEX(PARAMETROS!$J$2:$J700,MATCH(H328,PARAMETROS!$E$2:$E700,0)),""))</f>
        <v/>
      </c>
      <c r="X328" s="23" t="str">
        <f t="shared" si="1"/>
        <v/>
      </c>
    </row>
    <row r="329" spans="1:24">
      <c r="A329" s="12"/>
      <c r="B329" s="12"/>
      <c r="C329" s="12"/>
      <c r="D329" s="12"/>
      <c r="E329" s="12"/>
      <c r="F329" s="12"/>
      <c r="G329" s="12"/>
      <c r="H329" s="12"/>
      <c r="I329" s="12"/>
      <c r="J329" s="14"/>
      <c r="K329" s="12"/>
      <c r="L329" s="14"/>
      <c r="M329" s="12"/>
      <c r="N329" s="12"/>
      <c r="O329" s="14"/>
      <c r="P329" s="12"/>
      <c r="Q329" s="15"/>
      <c r="R329" s="15"/>
      <c r="S329" s="21"/>
      <c r="T329" s="12"/>
      <c r="U329" s="46"/>
      <c r="V329" s="23"/>
      <c r="W329" s="22" t="str">
        <f t="array" ref="W329">IF(A329="","",IFERROR(INDEX(PARAMETROS!$J$2:$J700,MATCH(H329,PARAMETROS!$E$2:$E700,0)),""))</f>
        <v/>
      </c>
      <c r="X329" s="23" t="str">
        <f t="shared" si="1"/>
        <v/>
      </c>
    </row>
    <row r="330" spans="1:24">
      <c r="A330" s="12"/>
      <c r="B330" s="12"/>
      <c r="C330" s="12"/>
      <c r="D330" s="12"/>
      <c r="E330" s="12"/>
      <c r="F330" s="12"/>
      <c r="G330" s="12"/>
      <c r="H330" s="12"/>
      <c r="I330" s="12"/>
      <c r="J330" s="14"/>
      <c r="K330" s="12"/>
      <c r="L330" s="14"/>
      <c r="M330" s="12"/>
      <c r="N330" s="12"/>
      <c r="O330" s="14"/>
      <c r="P330" s="12"/>
      <c r="Q330" s="15"/>
      <c r="R330" s="15"/>
      <c r="S330" s="21"/>
      <c r="T330" s="12"/>
      <c r="U330" s="46"/>
      <c r="V330" s="23"/>
      <c r="W330" s="22" t="str">
        <f t="array" ref="W330">IF(A330="","",IFERROR(INDEX(PARAMETROS!$J$2:$J700,MATCH(H330,PARAMETROS!$E$2:$E700,0)),""))</f>
        <v/>
      </c>
      <c r="X330" s="23" t="str">
        <f t="shared" si="1"/>
        <v/>
      </c>
    </row>
    <row r="331" spans="1:24">
      <c r="A331" s="12"/>
      <c r="B331" s="12"/>
      <c r="C331" s="12"/>
      <c r="D331" s="12"/>
      <c r="E331" s="12"/>
      <c r="F331" s="12"/>
      <c r="G331" s="12"/>
      <c r="H331" s="12"/>
      <c r="I331" s="12"/>
      <c r="J331" s="14"/>
      <c r="K331" s="12"/>
      <c r="L331" s="14"/>
      <c r="M331" s="12"/>
      <c r="N331" s="12"/>
      <c r="O331" s="14"/>
      <c r="P331" s="12"/>
      <c r="Q331" s="15"/>
      <c r="R331" s="15"/>
      <c r="S331" s="21"/>
      <c r="T331" s="12"/>
      <c r="U331" s="46"/>
      <c r="V331" s="23"/>
      <c r="W331" s="22" t="str">
        <f t="array" ref="W331">IF(A331="","",IFERROR(INDEX(PARAMETROS!$J$2:$J700,MATCH(H331,PARAMETROS!$E$2:$E700,0)),""))</f>
        <v/>
      </c>
      <c r="X331" s="23" t="str">
        <f t="shared" si="1"/>
        <v/>
      </c>
    </row>
    <row r="332" spans="1:24">
      <c r="A332" s="12"/>
      <c r="B332" s="12"/>
      <c r="C332" s="12"/>
      <c r="D332" s="12"/>
      <c r="E332" s="12"/>
      <c r="F332" s="12"/>
      <c r="G332" s="12"/>
      <c r="H332" s="12"/>
      <c r="I332" s="12"/>
      <c r="J332" s="14"/>
      <c r="K332" s="12"/>
      <c r="L332" s="14"/>
      <c r="M332" s="12"/>
      <c r="N332" s="12"/>
      <c r="O332" s="14"/>
      <c r="P332" s="12"/>
      <c r="Q332" s="15"/>
      <c r="R332" s="15"/>
      <c r="S332" s="21"/>
      <c r="T332" s="12"/>
      <c r="U332" s="46"/>
      <c r="V332" s="23"/>
      <c r="W332" s="22" t="str">
        <f t="array" ref="W332">IF(A332="","",IFERROR(INDEX(PARAMETROS!$J$2:$J700,MATCH(H332,PARAMETROS!$E$2:$E700,0)),""))</f>
        <v/>
      </c>
      <c r="X332" s="23" t="str">
        <f t="shared" si="1"/>
        <v/>
      </c>
    </row>
    <row r="333" spans="1:24">
      <c r="A333" s="12"/>
      <c r="B333" s="12"/>
      <c r="C333" s="12"/>
      <c r="D333" s="12"/>
      <c r="E333" s="12"/>
      <c r="F333" s="12"/>
      <c r="G333" s="12"/>
      <c r="H333" s="12"/>
      <c r="I333" s="12"/>
      <c r="J333" s="14"/>
      <c r="K333" s="12"/>
      <c r="L333" s="14"/>
      <c r="M333" s="12"/>
      <c r="N333" s="12"/>
      <c r="O333" s="14"/>
      <c r="P333" s="12"/>
      <c r="Q333" s="15"/>
      <c r="R333" s="15"/>
      <c r="S333" s="21"/>
      <c r="T333" s="12"/>
      <c r="U333" s="46"/>
      <c r="V333" s="23"/>
      <c r="W333" s="22" t="str">
        <f t="array" ref="W333">IF(A333="","",IFERROR(INDEX(PARAMETROS!$J$2:$J700,MATCH(H333,PARAMETROS!$E$2:$E700,0)),""))</f>
        <v/>
      </c>
      <c r="X333" s="23" t="str">
        <f t="shared" si="1"/>
        <v/>
      </c>
    </row>
    <row r="334" spans="1:24">
      <c r="A334" s="12"/>
      <c r="B334" s="12"/>
      <c r="C334" s="12"/>
      <c r="D334" s="12"/>
      <c r="E334" s="12"/>
      <c r="F334" s="12"/>
      <c r="G334" s="12"/>
      <c r="H334" s="12"/>
      <c r="I334" s="12"/>
      <c r="J334" s="14"/>
      <c r="K334" s="12"/>
      <c r="L334" s="14"/>
      <c r="M334" s="12"/>
      <c r="N334" s="12"/>
      <c r="O334" s="14"/>
      <c r="P334" s="12"/>
      <c r="Q334" s="15"/>
      <c r="R334" s="15"/>
      <c r="S334" s="21"/>
      <c r="T334" s="12"/>
      <c r="U334" s="46"/>
      <c r="V334" s="23"/>
      <c r="W334" s="22" t="str">
        <f t="array" ref="W334">IF(A334="","",IFERROR(INDEX(PARAMETROS!$J$2:$J700,MATCH(H334,PARAMETROS!$E$2:$E700,0)),""))</f>
        <v/>
      </c>
      <c r="X334" s="23" t="str">
        <f t="shared" si="1"/>
        <v/>
      </c>
    </row>
    <row r="335" spans="1:24">
      <c r="A335" s="12"/>
      <c r="B335" s="12"/>
      <c r="C335" s="12"/>
      <c r="D335" s="12"/>
      <c r="E335" s="12"/>
      <c r="F335" s="12"/>
      <c r="G335" s="12"/>
      <c r="H335" s="12"/>
      <c r="I335" s="12"/>
      <c r="J335" s="14"/>
      <c r="K335" s="12"/>
      <c r="L335" s="14"/>
      <c r="M335" s="12"/>
      <c r="N335" s="12"/>
      <c r="O335" s="14"/>
      <c r="P335" s="12"/>
      <c r="Q335" s="15"/>
      <c r="R335" s="15"/>
      <c r="S335" s="21"/>
      <c r="T335" s="12"/>
      <c r="U335" s="46"/>
      <c r="V335" s="23"/>
      <c r="W335" s="22" t="str">
        <f t="array" ref="W335">IF(A335="","",IFERROR(INDEX(PARAMETROS!$J$2:$J700,MATCH(H335,PARAMETROS!$E$2:$E700,0)),""))</f>
        <v/>
      </c>
      <c r="X335" s="23" t="str">
        <f t="shared" si="1"/>
        <v/>
      </c>
    </row>
    <row r="336" spans="1:24">
      <c r="A336" s="12"/>
      <c r="B336" s="12"/>
      <c r="C336" s="12"/>
      <c r="D336" s="12"/>
      <c r="E336" s="12"/>
      <c r="F336" s="12"/>
      <c r="G336" s="12"/>
      <c r="H336" s="12"/>
      <c r="I336" s="12"/>
      <c r="J336" s="14"/>
      <c r="K336" s="12"/>
      <c r="L336" s="14"/>
      <c r="M336" s="12"/>
      <c r="N336" s="12"/>
      <c r="O336" s="14"/>
      <c r="P336" s="12"/>
      <c r="Q336" s="15"/>
      <c r="R336" s="15"/>
      <c r="S336" s="21"/>
      <c r="T336" s="12"/>
      <c r="U336" s="46"/>
      <c r="V336" s="23"/>
      <c r="W336" s="22" t="str">
        <f t="array" ref="W336">IF(A336="","",IFERROR(INDEX(PARAMETROS!$J$2:$J700,MATCH(H336,PARAMETROS!$E$2:$E700,0)),""))</f>
        <v/>
      </c>
      <c r="X336" s="23" t="str">
        <f t="shared" si="1"/>
        <v/>
      </c>
    </row>
    <row r="337" spans="1:24">
      <c r="A337" s="12"/>
      <c r="B337" s="12"/>
      <c r="C337" s="12"/>
      <c r="D337" s="12"/>
      <c r="E337" s="12"/>
      <c r="F337" s="12"/>
      <c r="G337" s="12"/>
      <c r="H337" s="12"/>
      <c r="I337" s="12"/>
      <c r="J337" s="14"/>
      <c r="K337" s="12"/>
      <c r="L337" s="14"/>
      <c r="M337" s="12"/>
      <c r="N337" s="12"/>
      <c r="O337" s="14"/>
      <c r="P337" s="12"/>
      <c r="Q337" s="15"/>
      <c r="R337" s="15"/>
      <c r="S337" s="21"/>
      <c r="T337" s="12"/>
      <c r="U337" s="46"/>
      <c r="V337" s="23"/>
      <c r="W337" s="22" t="str">
        <f t="array" ref="W337">IF(A337="","",IFERROR(INDEX(PARAMETROS!$J$2:$J700,MATCH(H337,PARAMETROS!$E$2:$E700,0)),""))</f>
        <v/>
      </c>
      <c r="X337" s="23" t="str">
        <f t="shared" si="1"/>
        <v/>
      </c>
    </row>
    <row r="338" spans="1:24">
      <c r="A338" s="12"/>
      <c r="B338" s="12"/>
      <c r="C338" s="12"/>
      <c r="D338" s="12"/>
      <c r="E338" s="12"/>
      <c r="F338" s="12"/>
      <c r="G338" s="12"/>
      <c r="H338" s="12"/>
      <c r="I338" s="12"/>
      <c r="J338" s="14"/>
      <c r="K338" s="12"/>
      <c r="L338" s="14"/>
      <c r="M338" s="12"/>
      <c r="N338" s="12"/>
      <c r="O338" s="14"/>
      <c r="P338" s="12"/>
      <c r="Q338" s="15"/>
      <c r="R338" s="15"/>
      <c r="S338" s="21"/>
      <c r="T338" s="12"/>
      <c r="U338" s="46"/>
      <c r="V338" s="23"/>
      <c r="W338" s="22" t="str">
        <f t="array" ref="W338">IF(A338="","",IFERROR(INDEX(PARAMETROS!$J$2:$J700,MATCH(H338,PARAMETROS!$E$2:$E700,0)),""))</f>
        <v/>
      </c>
      <c r="X338" s="23" t="str">
        <f t="shared" si="1"/>
        <v/>
      </c>
    </row>
    <row r="339" spans="1:24">
      <c r="A339" s="12"/>
      <c r="B339" s="12"/>
      <c r="C339" s="12"/>
      <c r="D339" s="12"/>
      <c r="E339" s="12"/>
      <c r="F339" s="12"/>
      <c r="G339" s="12"/>
      <c r="H339" s="12"/>
      <c r="I339" s="12"/>
      <c r="J339" s="14"/>
      <c r="K339" s="12"/>
      <c r="L339" s="14"/>
      <c r="M339" s="12"/>
      <c r="N339" s="12"/>
      <c r="O339" s="14"/>
      <c r="P339" s="12"/>
      <c r="Q339" s="15"/>
      <c r="R339" s="15"/>
      <c r="S339" s="21"/>
      <c r="T339" s="12"/>
      <c r="U339" s="46"/>
      <c r="V339" s="23"/>
      <c r="W339" s="22" t="str">
        <f t="array" ref="W339">IF(A339="","",IFERROR(INDEX(PARAMETROS!$J$2:$J700,MATCH(H339,PARAMETROS!$E$2:$E700,0)),""))</f>
        <v/>
      </c>
      <c r="X339" s="23" t="str">
        <f t="shared" si="1"/>
        <v/>
      </c>
    </row>
    <row r="340" spans="1:24">
      <c r="A340" s="12"/>
      <c r="B340" s="12"/>
      <c r="C340" s="12"/>
      <c r="D340" s="12"/>
      <c r="E340" s="12"/>
      <c r="F340" s="12"/>
      <c r="G340" s="12"/>
      <c r="H340" s="12"/>
      <c r="I340" s="12"/>
      <c r="J340" s="14"/>
      <c r="K340" s="12"/>
      <c r="L340" s="14"/>
      <c r="M340" s="12"/>
      <c r="N340" s="12"/>
      <c r="O340" s="14"/>
      <c r="P340" s="12"/>
      <c r="Q340" s="15"/>
      <c r="R340" s="15"/>
      <c r="S340" s="21"/>
      <c r="T340" s="12"/>
      <c r="U340" s="46"/>
      <c r="V340" s="23"/>
      <c r="W340" s="22" t="str">
        <f t="array" ref="W340">IF(A340="","",IFERROR(INDEX(PARAMETROS!$J$2:$J700,MATCH(H340,PARAMETROS!$E$2:$E700,0)),""))</f>
        <v/>
      </c>
      <c r="X340" s="23" t="str">
        <f t="shared" si="1"/>
        <v/>
      </c>
    </row>
    <row r="341" spans="1:24">
      <c r="A341" s="12"/>
      <c r="B341" s="12"/>
      <c r="C341" s="12"/>
      <c r="D341" s="12"/>
      <c r="E341" s="12"/>
      <c r="F341" s="12"/>
      <c r="G341" s="12"/>
      <c r="H341" s="12"/>
      <c r="I341" s="12"/>
      <c r="J341" s="14"/>
      <c r="K341" s="12"/>
      <c r="L341" s="14"/>
      <c r="M341" s="12"/>
      <c r="N341" s="12"/>
      <c r="O341" s="14"/>
      <c r="P341" s="12"/>
      <c r="Q341" s="15"/>
      <c r="R341" s="15"/>
      <c r="S341" s="21"/>
      <c r="T341" s="12"/>
      <c r="U341" s="46"/>
      <c r="V341" s="23"/>
      <c r="W341" s="22" t="str">
        <f t="array" ref="W341">IF(A341="","",IFERROR(INDEX(PARAMETROS!$J$2:$J700,MATCH(H341,PARAMETROS!$E$2:$E700,0)),""))</f>
        <v/>
      </c>
      <c r="X341" s="23" t="str">
        <f t="shared" si="1"/>
        <v/>
      </c>
    </row>
    <row r="342" spans="1:24">
      <c r="A342" s="12"/>
      <c r="B342" s="12"/>
      <c r="C342" s="12"/>
      <c r="D342" s="12"/>
      <c r="E342" s="12"/>
      <c r="F342" s="12"/>
      <c r="G342" s="12"/>
      <c r="H342" s="12"/>
      <c r="I342" s="12"/>
      <c r="J342" s="14"/>
      <c r="K342" s="12"/>
      <c r="L342" s="14"/>
      <c r="M342" s="12"/>
      <c r="N342" s="12"/>
      <c r="O342" s="14"/>
      <c r="P342" s="12"/>
      <c r="Q342" s="15"/>
      <c r="R342" s="15"/>
      <c r="S342" s="21"/>
      <c r="T342" s="12"/>
      <c r="U342" s="46"/>
      <c r="V342" s="23"/>
      <c r="W342" s="22" t="str">
        <f t="array" ref="W342">IF(A342="","",IFERROR(INDEX(PARAMETROS!$J$2:$J700,MATCH(H342,PARAMETROS!$E$2:$E700,0)),""))</f>
        <v/>
      </c>
      <c r="X342" s="23" t="str">
        <f t="shared" si="1"/>
        <v/>
      </c>
    </row>
    <row r="343" spans="1:24">
      <c r="A343" s="12"/>
      <c r="B343" s="12"/>
      <c r="C343" s="12"/>
      <c r="D343" s="12"/>
      <c r="E343" s="12"/>
      <c r="F343" s="12"/>
      <c r="G343" s="12"/>
      <c r="H343" s="12"/>
      <c r="I343" s="12"/>
      <c r="J343" s="14"/>
      <c r="K343" s="12"/>
      <c r="L343" s="14"/>
      <c r="M343" s="12"/>
      <c r="N343" s="12"/>
      <c r="O343" s="14"/>
      <c r="P343" s="12"/>
      <c r="Q343" s="15"/>
      <c r="R343" s="15"/>
      <c r="S343" s="21"/>
      <c r="T343" s="12"/>
      <c r="U343" s="46"/>
      <c r="V343" s="23"/>
      <c r="W343" s="22" t="str">
        <f t="array" ref="W343">IF(A343="","",IFERROR(INDEX(PARAMETROS!$J$2:$J700,MATCH(H343,PARAMETROS!$E$2:$E700,0)),""))</f>
        <v/>
      </c>
      <c r="X343" s="23" t="str">
        <f t="shared" si="1"/>
        <v/>
      </c>
    </row>
    <row r="344" spans="1:24">
      <c r="A344" s="12"/>
      <c r="B344" s="12"/>
      <c r="C344" s="12"/>
      <c r="D344" s="12"/>
      <c r="E344" s="12"/>
      <c r="F344" s="12"/>
      <c r="G344" s="12"/>
      <c r="H344" s="12"/>
      <c r="I344" s="12"/>
      <c r="J344" s="14"/>
      <c r="K344" s="12"/>
      <c r="L344" s="14"/>
      <c r="M344" s="12"/>
      <c r="N344" s="12"/>
      <c r="O344" s="14"/>
      <c r="P344" s="12"/>
      <c r="Q344" s="15"/>
      <c r="R344" s="15"/>
      <c r="S344" s="21"/>
      <c r="T344" s="12"/>
      <c r="U344" s="46"/>
      <c r="V344" s="23"/>
      <c r="W344" s="22" t="str">
        <f t="array" ref="W344">IF(A344="","",IFERROR(INDEX(PARAMETROS!$J$2:$J700,MATCH(H344,PARAMETROS!$E$2:$E700,0)),""))</f>
        <v/>
      </c>
      <c r="X344" s="23" t="str">
        <f t="shared" si="1"/>
        <v/>
      </c>
    </row>
    <row r="345" spans="1:24">
      <c r="A345" s="12"/>
      <c r="B345" s="12"/>
      <c r="C345" s="12"/>
      <c r="D345" s="12"/>
      <c r="E345" s="12"/>
      <c r="F345" s="12"/>
      <c r="G345" s="12"/>
      <c r="H345" s="12"/>
      <c r="I345" s="12"/>
      <c r="J345" s="14"/>
      <c r="K345" s="12"/>
      <c r="L345" s="14"/>
      <c r="M345" s="12"/>
      <c r="N345" s="12"/>
      <c r="O345" s="14"/>
      <c r="P345" s="12"/>
      <c r="Q345" s="15"/>
      <c r="R345" s="15"/>
      <c r="S345" s="21"/>
      <c r="T345" s="12"/>
      <c r="U345" s="46"/>
      <c r="V345" s="23"/>
      <c r="W345" s="22" t="str">
        <f t="array" ref="W345">IF(A345="","",IFERROR(INDEX(PARAMETROS!$J$2:$J700,MATCH(H345,PARAMETROS!$E$2:$E700,0)),""))</f>
        <v/>
      </c>
      <c r="X345" s="23" t="str">
        <f t="shared" si="1"/>
        <v/>
      </c>
    </row>
    <row r="346" spans="1:24">
      <c r="A346" s="12"/>
      <c r="B346" s="12"/>
      <c r="C346" s="12"/>
      <c r="D346" s="12"/>
      <c r="E346" s="12"/>
      <c r="F346" s="12"/>
      <c r="G346" s="12"/>
      <c r="H346" s="12"/>
      <c r="I346" s="12"/>
      <c r="J346" s="14"/>
      <c r="K346" s="12"/>
      <c r="L346" s="14"/>
      <c r="M346" s="12"/>
      <c r="N346" s="12"/>
      <c r="O346" s="14"/>
      <c r="P346" s="12"/>
      <c r="Q346" s="15"/>
      <c r="R346" s="15"/>
      <c r="S346" s="21"/>
      <c r="T346" s="12"/>
      <c r="U346" s="46"/>
      <c r="V346" s="23"/>
      <c r="W346" s="22" t="str">
        <f t="array" ref="W346">IF(A346="","",IFERROR(INDEX(PARAMETROS!$J$2:$J700,MATCH(H346,PARAMETROS!$E$2:$E700,0)),""))</f>
        <v/>
      </c>
      <c r="X346" s="23" t="str">
        <f t="shared" si="1"/>
        <v/>
      </c>
    </row>
    <row r="347" spans="1:24">
      <c r="A347" s="12"/>
      <c r="B347" s="12"/>
      <c r="C347" s="12"/>
      <c r="D347" s="12"/>
      <c r="E347" s="12"/>
      <c r="F347" s="12"/>
      <c r="G347" s="12"/>
      <c r="H347" s="12"/>
      <c r="I347" s="12"/>
      <c r="J347" s="14"/>
      <c r="K347" s="12"/>
      <c r="L347" s="14"/>
      <c r="M347" s="12"/>
      <c r="N347" s="12"/>
      <c r="O347" s="14"/>
      <c r="P347" s="12"/>
      <c r="Q347" s="15"/>
      <c r="R347" s="15"/>
      <c r="S347" s="21"/>
      <c r="T347" s="12"/>
      <c r="U347" s="46"/>
      <c r="V347" s="23"/>
      <c r="W347" s="22" t="str">
        <f t="array" ref="W347">IF(A347="","",IFERROR(INDEX(PARAMETROS!$J$2:$J700,MATCH(H347,PARAMETROS!$E$2:$E700,0)),""))</f>
        <v/>
      </c>
      <c r="X347" s="23" t="str">
        <f t="shared" si="1"/>
        <v/>
      </c>
    </row>
    <row r="348" spans="1:24">
      <c r="A348" s="12"/>
      <c r="B348" s="12"/>
      <c r="C348" s="12"/>
      <c r="D348" s="12"/>
      <c r="E348" s="12"/>
      <c r="F348" s="12"/>
      <c r="G348" s="12"/>
      <c r="H348" s="12"/>
      <c r="I348" s="12"/>
      <c r="J348" s="14"/>
      <c r="K348" s="12"/>
      <c r="L348" s="14"/>
      <c r="M348" s="12"/>
      <c r="N348" s="12"/>
      <c r="O348" s="14"/>
      <c r="P348" s="12"/>
      <c r="Q348" s="15"/>
      <c r="R348" s="15"/>
      <c r="S348" s="21"/>
      <c r="T348" s="12"/>
      <c r="U348" s="46"/>
      <c r="V348" s="23"/>
      <c r="W348" s="22" t="str">
        <f t="array" ref="W348">IF(A348="","",IFERROR(INDEX(PARAMETROS!$J$2:$J700,MATCH(H348,PARAMETROS!$E$2:$E700,0)),""))</f>
        <v/>
      </c>
      <c r="X348" s="23" t="str">
        <f t="shared" si="1"/>
        <v/>
      </c>
    </row>
    <row r="349" spans="1:24">
      <c r="A349" s="12"/>
      <c r="B349" s="12"/>
      <c r="C349" s="12"/>
      <c r="D349" s="12"/>
      <c r="E349" s="12"/>
      <c r="F349" s="12"/>
      <c r="G349" s="12"/>
      <c r="H349" s="12"/>
      <c r="I349" s="12"/>
      <c r="J349" s="14"/>
      <c r="K349" s="12"/>
      <c r="L349" s="14"/>
      <c r="M349" s="12"/>
      <c r="N349" s="12"/>
      <c r="O349" s="14"/>
      <c r="P349" s="12"/>
      <c r="Q349" s="15"/>
      <c r="R349" s="15"/>
      <c r="S349" s="21"/>
      <c r="T349" s="12"/>
      <c r="U349" s="46"/>
      <c r="V349" s="23"/>
      <c r="W349" s="22" t="str">
        <f t="array" ref="W349">IF(A349="","",IFERROR(INDEX(PARAMETROS!$J$2:$J700,MATCH(H349,PARAMETROS!$E$2:$E700,0)),""))</f>
        <v/>
      </c>
      <c r="X349" s="23" t="str">
        <f t="shared" si="1"/>
        <v/>
      </c>
    </row>
    <row r="350" spans="1:24">
      <c r="A350" s="12"/>
      <c r="B350" s="12"/>
      <c r="C350" s="12"/>
      <c r="D350" s="12"/>
      <c r="E350" s="12"/>
      <c r="F350" s="12"/>
      <c r="G350" s="12"/>
      <c r="H350" s="12"/>
      <c r="I350" s="12"/>
      <c r="J350" s="14"/>
      <c r="K350" s="12"/>
      <c r="L350" s="14"/>
      <c r="M350" s="12"/>
      <c r="N350" s="12"/>
      <c r="O350" s="14"/>
      <c r="P350" s="12"/>
      <c r="Q350" s="15"/>
      <c r="R350" s="15"/>
      <c r="S350" s="21"/>
      <c r="T350" s="12"/>
      <c r="U350" s="46"/>
      <c r="V350" s="23"/>
      <c r="W350" s="22" t="str">
        <f t="array" ref="W350">IF(A350="","",IFERROR(INDEX(PARAMETROS!$J$2:$J700,MATCH(H350,PARAMETROS!$E$2:$E700,0)),""))</f>
        <v/>
      </c>
      <c r="X350" s="23" t="str">
        <f t="shared" si="1"/>
        <v/>
      </c>
    </row>
    <row r="351" spans="1:24">
      <c r="A351" s="12"/>
      <c r="B351" s="12"/>
      <c r="C351" s="12"/>
      <c r="D351" s="12"/>
      <c r="E351" s="12"/>
      <c r="F351" s="12"/>
      <c r="G351" s="12"/>
      <c r="H351" s="12"/>
      <c r="I351" s="12"/>
      <c r="J351" s="14"/>
      <c r="K351" s="12"/>
      <c r="L351" s="14"/>
      <c r="M351" s="12"/>
      <c r="N351" s="12"/>
      <c r="O351" s="14"/>
      <c r="P351" s="12"/>
      <c r="Q351" s="15"/>
      <c r="R351" s="15"/>
      <c r="S351" s="21"/>
      <c r="T351" s="12"/>
      <c r="U351" s="46"/>
      <c r="V351" s="23"/>
      <c r="W351" s="22" t="str">
        <f t="array" ref="W351">IF(A351="","",IFERROR(INDEX(PARAMETROS!$J$2:$J700,MATCH(H351,PARAMETROS!$E$2:$E700,0)),""))</f>
        <v/>
      </c>
      <c r="X351" s="23" t="str">
        <f t="shared" si="1"/>
        <v/>
      </c>
    </row>
    <row r="352" spans="1:24">
      <c r="A352" s="12"/>
      <c r="B352" s="12"/>
      <c r="C352" s="12"/>
      <c r="D352" s="12"/>
      <c r="E352" s="12"/>
      <c r="F352" s="12"/>
      <c r="G352" s="12"/>
      <c r="H352" s="12"/>
      <c r="I352" s="12"/>
      <c r="J352" s="14"/>
      <c r="K352" s="12"/>
      <c r="L352" s="14"/>
      <c r="M352" s="12"/>
      <c r="N352" s="12"/>
      <c r="O352" s="14"/>
      <c r="P352" s="12"/>
      <c r="Q352" s="15"/>
      <c r="R352" s="15"/>
      <c r="S352" s="21"/>
      <c r="T352" s="12"/>
      <c r="U352" s="46"/>
      <c r="V352" s="23"/>
      <c r="W352" s="22" t="str">
        <f t="array" ref="W352">IF(A352="","",IFERROR(INDEX(PARAMETROS!$J$2:$J700,MATCH(H352,PARAMETROS!$E$2:$E700,0)),""))</f>
        <v/>
      </c>
      <c r="X352" s="23" t="str">
        <f t="shared" si="1"/>
        <v/>
      </c>
    </row>
    <row r="353" spans="1:24">
      <c r="A353" s="12"/>
      <c r="B353" s="12"/>
      <c r="C353" s="12"/>
      <c r="D353" s="12"/>
      <c r="E353" s="12"/>
      <c r="F353" s="12"/>
      <c r="G353" s="12"/>
      <c r="H353" s="12"/>
      <c r="I353" s="12"/>
      <c r="J353" s="14"/>
      <c r="K353" s="12"/>
      <c r="L353" s="14"/>
      <c r="M353" s="12"/>
      <c r="N353" s="12"/>
      <c r="O353" s="14"/>
      <c r="P353" s="12"/>
      <c r="Q353" s="15"/>
      <c r="R353" s="15"/>
      <c r="S353" s="21"/>
      <c r="T353" s="12"/>
      <c r="U353" s="46"/>
      <c r="V353" s="23"/>
      <c r="W353" s="22" t="str">
        <f t="array" ref="W353">IF(A353="","",IFERROR(INDEX(PARAMETROS!$J$2:$J700,MATCH(H353,PARAMETROS!$E$2:$E700,0)),""))</f>
        <v/>
      </c>
      <c r="X353" s="23" t="str">
        <f t="shared" si="1"/>
        <v/>
      </c>
    </row>
    <row r="354" spans="1:24">
      <c r="A354" s="12"/>
      <c r="B354" s="12"/>
      <c r="C354" s="12"/>
      <c r="D354" s="12"/>
      <c r="E354" s="12"/>
      <c r="F354" s="12"/>
      <c r="G354" s="12"/>
      <c r="H354" s="12"/>
      <c r="I354" s="12"/>
      <c r="J354" s="14"/>
      <c r="K354" s="12"/>
      <c r="L354" s="14"/>
      <c r="M354" s="12"/>
      <c r="N354" s="12"/>
      <c r="O354" s="14"/>
      <c r="P354" s="12"/>
      <c r="Q354" s="15"/>
      <c r="R354" s="15"/>
      <c r="S354" s="21"/>
      <c r="T354" s="12"/>
      <c r="U354" s="46"/>
      <c r="V354" s="23"/>
      <c r="W354" s="22" t="str">
        <f t="array" ref="W354">IF(A354="","",IFERROR(INDEX(PARAMETROS!$J$2:$J700,MATCH(H354,PARAMETROS!$E$2:$E700,0)),""))</f>
        <v/>
      </c>
      <c r="X354" s="23" t="str">
        <f t="shared" si="1"/>
        <v/>
      </c>
    </row>
    <row r="355" spans="1:24">
      <c r="A355" s="12"/>
      <c r="B355" s="12"/>
      <c r="C355" s="12"/>
      <c r="D355" s="12"/>
      <c r="E355" s="12"/>
      <c r="F355" s="12"/>
      <c r="G355" s="12"/>
      <c r="H355" s="12"/>
      <c r="I355" s="12"/>
      <c r="J355" s="14"/>
      <c r="K355" s="12"/>
      <c r="L355" s="14"/>
      <c r="M355" s="12"/>
      <c r="N355" s="12"/>
      <c r="O355" s="14"/>
      <c r="P355" s="12"/>
      <c r="Q355" s="15"/>
      <c r="R355" s="15"/>
      <c r="S355" s="21"/>
      <c r="T355" s="12"/>
      <c r="U355" s="46"/>
      <c r="V355" s="23"/>
      <c r="W355" s="22" t="str">
        <f t="array" ref="W355">IF(A355="","",IFERROR(INDEX(PARAMETROS!$J$2:$J700,MATCH(H355,PARAMETROS!$E$2:$E700,0)),""))</f>
        <v/>
      </c>
      <c r="X355" s="23" t="str">
        <f t="shared" si="1"/>
        <v/>
      </c>
    </row>
    <row r="356" spans="1:24">
      <c r="A356" s="12"/>
      <c r="B356" s="12"/>
      <c r="C356" s="12"/>
      <c r="D356" s="12"/>
      <c r="E356" s="12"/>
      <c r="F356" s="12"/>
      <c r="G356" s="12"/>
      <c r="H356" s="12"/>
      <c r="I356" s="12"/>
      <c r="J356" s="14"/>
      <c r="K356" s="12"/>
      <c r="L356" s="14"/>
      <c r="M356" s="12"/>
      <c r="N356" s="12"/>
      <c r="O356" s="14"/>
      <c r="P356" s="12"/>
      <c r="Q356" s="15"/>
      <c r="R356" s="15"/>
      <c r="S356" s="21"/>
      <c r="T356" s="12"/>
      <c r="U356" s="46"/>
      <c r="V356" s="23"/>
      <c r="W356" s="22" t="str">
        <f t="array" ref="W356">IF(A356="","",IFERROR(INDEX(PARAMETROS!$J$2:$J700,MATCH(H356,PARAMETROS!$E$2:$E700,0)),""))</f>
        <v/>
      </c>
      <c r="X356" s="23" t="str">
        <f t="shared" si="1"/>
        <v/>
      </c>
    </row>
    <row r="357" spans="1:24">
      <c r="A357" s="12"/>
      <c r="B357" s="12"/>
      <c r="C357" s="12"/>
      <c r="D357" s="12"/>
      <c r="E357" s="12"/>
      <c r="F357" s="12"/>
      <c r="G357" s="12"/>
      <c r="H357" s="12"/>
      <c r="I357" s="12"/>
      <c r="J357" s="14"/>
      <c r="K357" s="12"/>
      <c r="L357" s="14"/>
      <c r="M357" s="12"/>
      <c r="N357" s="12"/>
      <c r="O357" s="14"/>
      <c r="P357" s="12"/>
      <c r="Q357" s="15"/>
      <c r="R357" s="15"/>
      <c r="S357" s="21"/>
      <c r="T357" s="12"/>
      <c r="U357" s="46"/>
      <c r="V357" s="23"/>
      <c r="W357" s="22" t="str">
        <f t="array" ref="W357">IF(A357="","",IFERROR(INDEX(PARAMETROS!$J$2:$J700,MATCH(H357,PARAMETROS!$E$2:$E700,0)),""))</f>
        <v/>
      </c>
      <c r="X357" s="23" t="str">
        <f t="shared" si="1"/>
        <v/>
      </c>
    </row>
    <row r="358" spans="1:24">
      <c r="A358" s="12"/>
      <c r="B358" s="12"/>
      <c r="C358" s="12"/>
      <c r="D358" s="12"/>
      <c r="E358" s="12"/>
      <c r="F358" s="12"/>
      <c r="G358" s="12"/>
      <c r="H358" s="12"/>
      <c r="I358" s="12"/>
      <c r="J358" s="14"/>
      <c r="K358" s="12"/>
      <c r="L358" s="14"/>
      <c r="M358" s="12"/>
      <c r="N358" s="12"/>
      <c r="O358" s="14"/>
      <c r="P358" s="12"/>
      <c r="Q358" s="15"/>
      <c r="R358" s="15"/>
      <c r="S358" s="21"/>
      <c r="T358" s="12"/>
      <c r="U358" s="46"/>
      <c r="V358" s="23"/>
      <c r="W358" s="22" t="str">
        <f t="array" ref="W358">IF(A358="","",IFERROR(INDEX(PARAMETROS!$J$2:$J700,MATCH(H358,PARAMETROS!$E$2:$E700,0)),""))</f>
        <v/>
      </c>
      <c r="X358" s="23" t="str">
        <f t="shared" si="1"/>
        <v/>
      </c>
    </row>
    <row r="359" spans="1:24">
      <c r="A359" s="12"/>
      <c r="B359" s="12"/>
      <c r="C359" s="12"/>
      <c r="D359" s="12"/>
      <c r="E359" s="12"/>
      <c r="F359" s="12"/>
      <c r="G359" s="12"/>
      <c r="H359" s="12"/>
      <c r="I359" s="12"/>
      <c r="J359" s="14"/>
      <c r="K359" s="12"/>
      <c r="L359" s="14"/>
      <c r="M359" s="12"/>
      <c r="N359" s="12"/>
      <c r="O359" s="14"/>
      <c r="P359" s="12"/>
      <c r="Q359" s="15"/>
      <c r="R359" s="15"/>
      <c r="S359" s="21"/>
      <c r="T359" s="12"/>
      <c r="U359" s="46"/>
      <c r="V359" s="23"/>
      <c r="W359" s="22" t="str">
        <f t="array" ref="W359">IF(A359="","",IFERROR(INDEX(PARAMETROS!$J$2:$J700,MATCH(H359,PARAMETROS!$E$2:$E700,0)),""))</f>
        <v/>
      </c>
      <c r="X359" s="23" t="str">
        <f t="shared" si="1"/>
        <v/>
      </c>
    </row>
    <row r="360" spans="1:24">
      <c r="A360" s="12"/>
      <c r="B360" s="12"/>
      <c r="C360" s="12"/>
      <c r="D360" s="12"/>
      <c r="E360" s="12"/>
      <c r="F360" s="12"/>
      <c r="G360" s="12"/>
      <c r="H360" s="12"/>
      <c r="I360" s="12"/>
      <c r="J360" s="14"/>
      <c r="K360" s="12"/>
      <c r="L360" s="14"/>
      <c r="M360" s="12"/>
      <c r="N360" s="12"/>
      <c r="O360" s="14"/>
      <c r="P360" s="12"/>
      <c r="Q360" s="15"/>
      <c r="R360" s="15"/>
      <c r="S360" s="21"/>
      <c r="T360" s="12"/>
      <c r="U360" s="46"/>
      <c r="V360" s="23"/>
      <c r="W360" s="22" t="str">
        <f t="array" ref="W360">IF(A360="","",IFERROR(INDEX(PARAMETROS!$J$2:$J700,MATCH(H360,PARAMETROS!$E$2:$E700,0)),""))</f>
        <v/>
      </c>
      <c r="X360" s="23" t="str">
        <f t="shared" si="1"/>
        <v/>
      </c>
    </row>
    <row r="361" spans="1:24">
      <c r="A361" s="12"/>
      <c r="B361" s="12"/>
      <c r="C361" s="12"/>
      <c r="D361" s="12"/>
      <c r="E361" s="12"/>
      <c r="F361" s="12"/>
      <c r="G361" s="12"/>
      <c r="H361" s="12"/>
      <c r="I361" s="12"/>
      <c r="J361" s="14"/>
      <c r="K361" s="12"/>
      <c r="L361" s="14"/>
      <c r="M361" s="12"/>
      <c r="N361" s="12"/>
      <c r="O361" s="14"/>
      <c r="P361" s="12"/>
      <c r="Q361" s="15"/>
      <c r="R361" s="15"/>
      <c r="S361" s="21"/>
      <c r="T361" s="12"/>
      <c r="U361" s="46"/>
      <c r="V361" s="23"/>
      <c r="W361" s="22" t="str">
        <f t="array" ref="W361">IF(A361="","",IFERROR(INDEX(PARAMETROS!$J$2:$J700,MATCH(H361,PARAMETROS!$E$2:$E700,0)),""))</f>
        <v/>
      </c>
      <c r="X361" s="23" t="str">
        <f t="shared" si="1"/>
        <v/>
      </c>
    </row>
    <row r="362" spans="1:24">
      <c r="A362" s="12"/>
      <c r="B362" s="12"/>
      <c r="C362" s="12"/>
      <c r="D362" s="12"/>
      <c r="E362" s="12"/>
      <c r="F362" s="12"/>
      <c r="G362" s="12"/>
      <c r="H362" s="12"/>
      <c r="I362" s="12"/>
      <c r="J362" s="14"/>
      <c r="K362" s="12"/>
      <c r="L362" s="14"/>
      <c r="M362" s="12"/>
      <c r="N362" s="12"/>
      <c r="O362" s="14"/>
      <c r="P362" s="12"/>
      <c r="Q362" s="15"/>
      <c r="R362" s="15"/>
      <c r="S362" s="21"/>
      <c r="T362" s="12"/>
      <c r="U362" s="46"/>
      <c r="V362" s="23"/>
      <c r="W362" s="22" t="str">
        <f t="array" ref="W362">IF(A362="","",IFERROR(INDEX(PARAMETROS!$J$2:$J700,MATCH(H362,PARAMETROS!$E$2:$E700,0)),""))</f>
        <v/>
      </c>
      <c r="X362" s="23" t="str">
        <f t="shared" si="1"/>
        <v/>
      </c>
    </row>
    <row r="363" spans="1:24">
      <c r="A363" s="12"/>
      <c r="B363" s="12"/>
      <c r="C363" s="12"/>
      <c r="D363" s="12"/>
      <c r="E363" s="12"/>
      <c r="F363" s="12"/>
      <c r="G363" s="12"/>
      <c r="H363" s="12"/>
      <c r="I363" s="12"/>
      <c r="J363" s="14"/>
      <c r="K363" s="12"/>
      <c r="L363" s="14"/>
      <c r="M363" s="12"/>
      <c r="N363" s="12"/>
      <c r="O363" s="14"/>
      <c r="P363" s="12"/>
      <c r="Q363" s="15"/>
      <c r="R363" s="15"/>
      <c r="S363" s="21"/>
      <c r="T363" s="12"/>
      <c r="U363" s="46"/>
      <c r="V363" s="23"/>
      <c r="W363" s="22" t="str">
        <f t="array" ref="W363">IF(A363="","",IFERROR(INDEX(PARAMETROS!$J$2:$J700,MATCH(H363,PARAMETROS!$E$2:$E700,0)),""))</f>
        <v/>
      </c>
      <c r="X363" s="23" t="str">
        <f t="shared" si="1"/>
        <v/>
      </c>
    </row>
    <row r="364" spans="1:24">
      <c r="A364" s="12"/>
      <c r="B364" s="12"/>
      <c r="C364" s="12"/>
      <c r="D364" s="12"/>
      <c r="E364" s="12"/>
      <c r="F364" s="12"/>
      <c r="G364" s="12"/>
      <c r="H364" s="12"/>
      <c r="I364" s="12"/>
      <c r="J364" s="14"/>
      <c r="K364" s="12"/>
      <c r="L364" s="14"/>
      <c r="M364" s="12"/>
      <c r="N364" s="12"/>
      <c r="O364" s="14"/>
      <c r="P364" s="12"/>
      <c r="Q364" s="15"/>
      <c r="R364" s="15"/>
      <c r="S364" s="21"/>
      <c r="T364" s="12"/>
      <c r="U364" s="46"/>
      <c r="V364" s="23"/>
      <c r="W364" s="22" t="str">
        <f t="array" ref="W364">IF(A364="","",IFERROR(INDEX(PARAMETROS!$J$2:$J700,MATCH(H364,PARAMETROS!$E$2:$E700,0)),""))</f>
        <v/>
      </c>
      <c r="X364" s="23" t="str">
        <f t="shared" si="1"/>
        <v/>
      </c>
    </row>
    <row r="365" spans="1:24">
      <c r="A365" s="12"/>
      <c r="B365" s="12"/>
      <c r="C365" s="12"/>
      <c r="D365" s="12"/>
      <c r="E365" s="12"/>
      <c r="F365" s="12"/>
      <c r="G365" s="12"/>
      <c r="H365" s="12"/>
      <c r="I365" s="12"/>
      <c r="J365" s="14"/>
      <c r="K365" s="12"/>
      <c r="L365" s="14"/>
      <c r="M365" s="12"/>
      <c r="N365" s="12"/>
      <c r="O365" s="14"/>
      <c r="P365" s="12"/>
      <c r="Q365" s="15"/>
      <c r="R365" s="15"/>
      <c r="S365" s="21"/>
      <c r="T365" s="12"/>
      <c r="U365" s="46"/>
      <c r="V365" s="23"/>
      <c r="W365" s="22" t="str">
        <f t="array" ref="W365">IF(A365="","",IFERROR(INDEX(PARAMETROS!$J$2:$J700,MATCH(H365,PARAMETROS!$E$2:$E700,0)),""))</f>
        <v/>
      </c>
      <c r="X365" s="23" t="str">
        <f t="shared" si="1"/>
        <v/>
      </c>
    </row>
    <row r="366" spans="1:24">
      <c r="A366" s="12"/>
      <c r="B366" s="12"/>
      <c r="C366" s="12"/>
      <c r="D366" s="12"/>
      <c r="E366" s="12"/>
      <c r="F366" s="12"/>
      <c r="G366" s="12"/>
      <c r="H366" s="12"/>
      <c r="I366" s="12"/>
      <c r="J366" s="14"/>
      <c r="K366" s="12"/>
      <c r="L366" s="14"/>
      <c r="M366" s="12"/>
      <c r="N366" s="12"/>
      <c r="O366" s="14"/>
      <c r="P366" s="12"/>
      <c r="Q366" s="15"/>
      <c r="R366" s="15"/>
      <c r="S366" s="21"/>
      <c r="T366" s="12"/>
      <c r="U366" s="46"/>
      <c r="V366" s="23"/>
      <c r="W366" s="22" t="str">
        <f t="array" ref="W366">IF(A366="","",IFERROR(INDEX(PARAMETROS!$J$2:$J700,MATCH(H366,PARAMETROS!$E$2:$E700,0)),""))</f>
        <v/>
      </c>
      <c r="X366" s="23" t="str">
        <f t="shared" si="1"/>
        <v/>
      </c>
    </row>
    <row r="367" spans="1:24">
      <c r="A367" s="12"/>
      <c r="B367" s="12"/>
      <c r="C367" s="12"/>
      <c r="D367" s="12"/>
      <c r="E367" s="12"/>
      <c r="F367" s="12"/>
      <c r="G367" s="12"/>
      <c r="H367" s="12"/>
      <c r="I367" s="12"/>
      <c r="J367" s="14"/>
      <c r="K367" s="12"/>
      <c r="L367" s="14"/>
      <c r="M367" s="12"/>
      <c r="N367" s="12"/>
      <c r="O367" s="14"/>
      <c r="P367" s="12"/>
      <c r="Q367" s="15"/>
      <c r="R367" s="15"/>
      <c r="S367" s="21"/>
      <c r="T367" s="12"/>
      <c r="U367" s="46"/>
      <c r="V367" s="23"/>
      <c r="W367" s="22" t="str">
        <f t="array" ref="W367">IF(A367="","",IFERROR(INDEX(PARAMETROS!$J$2:$J700,MATCH(H367,PARAMETROS!$E$2:$E700,0)),""))</f>
        <v/>
      </c>
      <c r="X367" s="23" t="str">
        <f t="shared" si="1"/>
        <v/>
      </c>
    </row>
    <row r="368" spans="1:24">
      <c r="A368" s="12"/>
      <c r="B368" s="12"/>
      <c r="C368" s="12"/>
      <c r="D368" s="12"/>
      <c r="E368" s="12"/>
      <c r="F368" s="12"/>
      <c r="G368" s="12"/>
      <c r="H368" s="12"/>
      <c r="I368" s="12"/>
      <c r="J368" s="14"/>
      <c r="K368" s="12"/>
      <c r="L368" s="14"/>
      <c r="M368" s="12"/>
      <c r="N368" s="12"/>
      <c r="O368" s="14"/>
      <c r="P368" s="12"/>
      <c r="Q368" s="15"/>
      <c r="R368" s="15"/>
      <c r="S368" s="21"/>
      <c r="T368" s="12"/>
      <c r="U368" s="46"/>
      <c r="V368" s="23"/>
      <c r="W368" s="22" t="str">
        <f t="array" ref="W368">IF(A368="","",IFERROR(INDEX(PARAMETROS!$J$2:$J700,MATCH(H368,PARAMETROS!$E$2:$E700,0)),""))</f>
        <v/>
      </c>
      <c r="X368" s="23" t="str">
        <f t="shared" si="1"/>
        <v/>
      </c>
    </row>
    <row r="369" spans="1:24">
      <c r="A369" s="12"/>
      <c r="B369" s="12"/>
      <c r="C369" s="12"/>
      <c r="D369" s="12"/>
      <c r="E369" s="12"/>
      <c r="F369" s="12"/>
      <c r="G369" s="12"/>
      <c r="H369" s="12"/>
      <c r="I369" s="12"/>
      <c r="J369" s="14"/>
      <c r="K369" s="12"/>
      <c r="L369" s="14"/>
      <c r="M369" s="12"/>
      <c r="N369" s="12"/>
      <c r="O369" s="14"/>
      <c r="P369" s="12"/>
      <c r="Q369" s="15"/>
      <c r="R369" s="15"/>
      <c r="S369" s="21"/>
      <c r="T369" s="12"/>
      <c r="U369" s="46"/>
      <c r="V369" s="23"/>
      <c r="W369" s="22" t="str">
        <f t="array" ref="W369">IF(A369="","",IFERROR(INDEX(PARAMETROS!$J$2:$J700,MATCH(H369,PARAMETROS!$E$2:$E700,0)),""))</f>
        <v/>
      </c>
      <c r="X369" s="23" t="str">
        <f t="shared" si="1"/>
        <v/>
      </c>
    </row>
    <row r="370" spans="1:24">
      <c r="A370" s="12"/>
      <c r="B370" s="12"/>
      <c r="C370" s="12"/>
      <c r="D370" s="12"/>
      <c r="E370" s="12"/>
      <c r="F370" s="12"/>
      <c r="G370" s="12"/>
      <c r="H370" s="12"/>
      <c r="I370" s="12"/>
      <c r="J370" s="14"/>
      <c r="K370" s="12"/>
      <c r="L370" s="14"/>
      <c r="M370" s="12"/>
      <c r="N370" s="12"/>
      <c r="O370" s="14"/>
      <c r="P370" s="12"/>
      <c r="Q370" s="15"/>
      <c r="R370" s="15"/>
      <c r="S370" s="21"/>
      <c r="T370" s="12"/>
      <c r="U370" s="46"/>
      <c r="V370" s="23"/>
      <c r="W370" s="22" t="str">
        <f t="array" ref="W370">IF(A370="","",IFERROR(INDEX(PARAMETROS!$J$2:$J700,MATCH(H370,PARAMETROS!$E$2:$E700,0)),""))</f>
        <v/>
      </c>
      <c r="X370" s="23" t="str">
        <f t="shared" si="1"/>
        <v/>
      </c>
    </row>
    <row r="371" spans="1:24">
      <c r="A371" s="12"/>
      <c r="B371" s="12"/>
      <c r="C371" s="12"/>
      <c r="D371" s="12"/>
      <c r="E371" s="12"/>
      <c r="F371" s="12"/>
      <c r="G371" s="12"/>
      <c r="H371" s="12"/>
      <c r="I371" s="12"/>
      <c r="J371" s="14"/>
      <c r="K371" s="12"/>
      <c r="L371" s="14"/>
      <c r="M371" s="12"/>
      <c r="N371" s="12"/>
      <c r="O371" s="14"/>
      <c r="P371" s="12"/>
      <c r="Q371" s="15"/>
      <c r="R371" s="15"/>
      <c r="S371" s="21"/>
      <c r="T371" s="12"/>
      <c r="U371" s="46"/>
      <c r="V371" s="23"/>
      <c r="W371" s="22" t="str">
        <f t="array" ref="W371">IF(A371="","",IFERROR(INDEX(PARAMETROS!$J$2:$J700,MATCH(H371,PARAMETROS!$E$2:$E700,0)),""))</f>
        <v/>
      </c>
      <c r="X371" s="23" t="str">
        <f t="shared" si="1"/>
        <v/>
      </c>
    </row>
    <row r="372" spans="1:24">
      <c r="A372" s="12"/>
      <c r="B372" s="12"/>
      <c r="C372" s="12"/>
      <c r="D372" s="12"/>
      <c r="E372" s="12"/>
      <c r="F372" s="12"/>
      <c r="G372" s="12"/>
      <c r="H372" s="12"/>
      <c r="I372" s="12"/>
      <c r="J372" s="14"/>
      <c r="K372" s="12"/>
      <c r="L372" s="14"/>
      <c r="M372" s="12"/>
      <c r="N372" s="12"/>
      <c r="O372" s="14"/>
      <c r="P372" s="12"/>
      <c r="Q372" s="15"/>
      <c r="R372" s="15"/>
      <c r="S372" s="21"/>
      <c r="T372" s="12"/>
      <c r="U372" s="46"/>
      <c r="V372" s="23"/>
      <c r="W372" s="22" t="str">
        <f t="array" ref="W372">IF(A372="","",IFERROR(INDEX(PARAMETROS!$J$2:$J700,MATCH(H372,PARAMETROS!$E$2:$E700,0)),""))</f>
        <v/>
      </c>
      <c r="X372" s="23" t="str">
        <f t="shared" si="1"/>
        <v/>
      </c>
    </row>
    <row r="373" spans="1:24">
      <c r="A373" s="12"/>
      <c r="B373" s="12"/>
      <c r="C373" s="12"/>
      <c r="D373" s="12"/>
      <c r="E373" s="12"/>
      <c r="F373" s="12"/>
      <c r="G373" s="12"/>
      <c r="H373" s="12"/>
      <c r="I373" s="12"/>
      <c r="J373" s="14"/>
      <c r="K373" s="12"/>
      <c r="L373" s="14"/>
      <c r="M373" s="12"/>
      <c r="N373" s="12"/>
      <c r="O373" s="14"/>
      <c r="P373" s="12"/>
      <c r="Q373" s="15"/>
      <c r="R373" s="15"/>
      <c r="S373" s="21"/>
      <c r="T373" s="12"/>
      <c r="U373" s="46"/>
      <c r="V373" s="23"/>
      <c r="W373" s="22" t="str">
        <f t="array" ref="W373">IF(A373="","",IFERROR(INDEX(PARAMETROS!$J$2:$J700,MATCH(H373,PARAMETROS!$E$2:$E700,0)),""))</f>
        <v/>
      </c>
      <c r="X373" s="23" t="str">
        <f t="shared" si="1"/>
        <v/>
      </c>
    </row>
    <row r="374" spans="1:24">
      <c r="A374" s="12"/>
      <c r="B374" s="12"/>
      <c r="C374" s="12"/>
      <c r="D374" s="12"/>
      <c r="E374" s="12"/>
      <c r="F374" s="12"/>
      <c r="G374" s="12"/>
      <c r="H374" s="12"/>
      <c r="I374" s="12"/>
      <c r="J374" s="14"/>
      <c r="K374" s="12"/>
      <c r="L374" s="14"/>
      <c r="M374" s="12"/>
      <c r="N374" s="12"/>
      <c r="O374" s="14"/>
      <c r="P374" s="12"/>
      <c r="Q374" s="15"/>
      <c r="R374" s="15"/>
      <c r="S374" s="21"/>
      <c r="T374" s="12"/>
      <c r="U374" s="46"/>
      <c r="V374" s="23"/>
      <c r="W374" s="22" t="str">
        <f t="array" ref="W374">IF(A374="","",IFERROR(INDEX(PARAMETROS!$J$2:$J700,MATCH(H374,PARAMETROS!$E$2:$E700,0)),""))</f>
        <v/>
      </c>
      <c r="X374" s="23" t="str">
        <f t="shared" si="1"/>
        <v/>
      </c>
    </row>
    <row r="375" spans="1:24">
      <c r="A375" s="12"/>
      <c r="B375" s="12"/>
      <c r="C375" s="12"/>
      <c r="D375" s="12"/>
      <c r="E375" s="12"/>
      <c r="F375" s="12"/>
      <c r="G375" s="12"/>
      <c r="H375" s="12"/>
      <c r="I375" s="12"/>
      <c r="J375" s="14"/>
      <c r="K375" s="12"/>
      <c r="L375" s="14"/>
      <c r="M375" s="12"/>
      <c r="N375" s="12"/>
      <c r="O375" s="14"/>
      <c r="P375" s="12"/>
      <c r="Q375" s="15"/>
      <c r="R375" s="15"/>
      <c r="S375" s="21"/>
      <c r="T375" s="12"/>
      <c r="U375" s="46"/>
      <c r="V375" s="23"/>
      <c r="W375" s="22" t="str">
        <f t="array" ref="W375">IF(A375="","",IFERROR(INDEX(PARAMETROS!$J$2:$J700,MATCH(H375,PARAMETROS!$E$2:$E700,0)),""))</f>
        <v/>
      </c>
      <c r="X375" s="23" t="str">
        <f t="shared" si="1"/>
        <v/>
      </c>
    </row>
    <row r="376" spans="1:24">
      <c r="A376" s="12"/>
      <c r="B376" s="12"/>
      <c r="C376" s="12"/>
      <c r="D376" s="12"/>
      <c r="E376" s="12"/>
      <c r="F376" s="12"/>
      <c r="G376" s="12"/>
      <c r="H376" s="12"/>
      <c r="I376" s="12"/>
      <c r="J376" s="14"/>
      <c r="K376" s="12"/>
      <c r="L376" s="14"/>
      <c r="M376" s="12"/>
      <c r="N376" s="12"/>
      <c r="O376" s="14"/>
      <c r="P376" s="12"/>
      <c r="Q376" s="15"/>
      <c r="R376" s="15"/>
      <c r="S376" s="21"/>
      <c r="T376" s="12"/>
      <c r="U376" s="46"/>
      <c r="V376" s="23"/>
      <c r="W376" s="22" t="str">
        <f t="array" ref="W376">IF(A376="","",IFERROR(INDEX(PARAMETROS!$J$2:$J700,MATCH(H376,PARAMETROS!$E$2:$E700,0)),""))</f>
        <v/>
      </c>
      <c r="X376" s="23" t="str">
        <f t="shared" si="1"/>
        <v/>
      </c>
    </row>
    <row r="377" spans="1:24">
      <c r="A377" s="12"/>
      <c r="B377" s="12"/>
      <c r="C377" s="12"/>
      <c r="D377" s="12"/>
      <c r="E377" s="12"/>
      <c r="F377" s="12"/>
      <c r="G377" s="12"/>
      <c r="H377" s="12"/>
      <c r="I377" s="12"/>
      <c r="J377" s="14"/>
      <c r="K377" s="12"/>
      <c r="L377" s="14"/>
      <c r="M377" s="12"/>
      <c r="N377" s="12"/>
      <c r="O377" s="14"/>
      <c r="P377" s="12"/>
      <c r="Q377" s="15"/>
      <c r="R377" s="15"/>
      <c r="S377" s="21"/>
      <c r="T377" s="12"/>
      <c r="U377" s="46"/>
      <c r="V377" s="23"/>
      <c r="W377" s="22" t="str">
        <f t="array" ref="W377">IF(A377="","",IFERROR(INDEX(PARAMETROS!$J$2:$J700,MATCH(H377,PARAMETROS!$E$2:$E700,0)),""))</f>
        <v/>
      </c>
      <c r="X377" s="23" t="str">
        <f t="shared" si="1"/>
        <v/>
      </c>
    </row>
    <row r="378" spans="1:24">
      <c r="A378" s="12"/>
      <c r="B378" s="12"/>
      <c r="C378" s="12"/>
      <c r="D378" s="12"/>
      <c r="E378" s="12"/>
      <c r="F378" s="12"/>
      <c r="G378" s="12"/>
      <c r="H378" s="12"/>
      <c r="I378" s="12"/>
      <c r="J378" s="14"/>
      <c r="K378" s="12"/>
      <c r="L378" s="14"/>
      <c r="M378" s="12"/>
      <c r="N378" s="12"/>
      <c r="O378" s="14"/>
      <c r="P378" s="12"/>
      <c r="Q378" s="15"/>
      <c r="R378" s="15"/>
      <c r="S378" s="21"/>
      <c r="T378" s="12"/>
      <c r="U378" s="46"/>
      <c r="V378" s="23"/>
      <c r="W378" s="22" t="str">
        <f t="array" ref="W378">IF(A378="","",IFERROR(INDEX(PARAMETROS!$J$2:$J700,MATCH(H378,PARAMETROS!$E$2:$E700,0)),""))</f>
        <v/>
      </c>
      <c r="X378" s="23" t="str">
        <f t="shared" si="1"/>
        <v/>
      </c>
    </row>
    <row r="379" spans="1:24">
      <c r="A379" s="12"/>
      <c r="B379" s="12"/>
      <c r="C379" s="12"/>
      <c r="D379" s="12"/>
      <c r="E379" s="12"/>
      <c r="F379" s="12"/>
      <c r="G379" s="12"/>
      <c r="H379" s="12"/>
      <c r="I379" s="12"/>
      <c r="J379" s="14"/>
      <c r="K379" s="12"/>
      <c r="L379" s="14"/>
      <c r="M379" s="12"/>
      <c r="N379" s="12"/>
      <c r="O379" s="14"/>
      <c r="P379" s="12"/>
      <c r="Q379" s="15"/>
      <c r="R379" s="15"/>
      <c r="S379" s="21"/>
      <c r="T379" s="12"/>
      <c r="U379" s="46"/>
      <c r="V379" s="23"/>
      <c r="W379" s="22" t="str">
        <f t="array" ref="W379">IF(A379="","",IFERROR(INDEX(PARAMETROS!$J$2:$J700,MATCH(H379,PARAMETROS!$E$2:$E700,0)),""))</f>
        <v/>
      </c>
      <c r="X379" s="23" t="str">
        <f t="shared" si="1"/>
        <v/>
      </c>
    </row>
    <row r="380" spans="1:24">
      <c r="A380" s="12"/>
      <c r="B380" s="12"/>
      <c r="C380" s="12"/>
      <c r="D380" s="12"/>
      <c r="E380" s="12"/>
      <c r="F380" s="12"/>
      <c r="G380" s="12"/>
      <c r="H380" s="12"/>
      <c r="I380" s="12"/>
      <c r="J380" s="14"/>
      <c r="K380" s="12"/>
      <c r="L380" s="14"/>
      <c r="M380" s="12"/>
      <c r="N380" s="12"/>
      <c r="O380" s="14"/>
      <c r="P380" s="12"/>
      <c r="Q380" s="15"/>
      <c r="R380" s="15"/>
      <c r="S380" s="21"/>
      <c r="T380" s="12"/>
      <c r="U380" s="46"/>
      <c r="V380" s="23"/>
      <c r="W380" s="22" t="str">
        <f t="array" ref="W380">IF(A380="","",IFERROR(INDEX(PARAMETROS!$J$2:$J700,MATCH(H380,PARAMETROS!$E$2:$E700,0)),""))</f>
        <v/>
      </c>
      <c r="X380" s="23" t="str">
        <f t="shared" si="1"/>
        <v/>
      </c>
    </row>
    <row r="381" spans="1:24">
      <c r="A381" s="12"/>
      <c r="B381" s="12"/>
      <c r="C381" s="12"/>
      <c r="D381" s="12"/>
      <c r="E381" s="12"/>
      <c r="F381" s="12"/>
      <c r="G381" s="12"/>
      <c r="H381" s="12"/>
      <c r="I381" s="12"/>
      <c r="J381" s="14"/>
      <c r="K381" s="12"/>
      <c r="L381" s="14"/>
      <c r="M381" s="12"/>
      <c r="N381" s="12"/>
      <c r="O381" s="14"/>
      <c r="P381" s="12"/>
      <c r="Q381" s="15"/>
      <c r="R381" s="15"/>
      <c r="S381" s="21"/>
      <c r="T381" s="12"/>
      <c r="U381" s="46"/>
      <c r="V381" s="23"/>
      <c r="W381" s="22" t="str">
        <f t="array" ref="W381">IF(A381="","",IFERROR(INDEX(PARAMETROS!$J$2:$J700,MATCH(H381,PARAMETROS!$E$2:$E700,0)),""))</f>
        <v/>
      </c>
      <c r="X381" s="23" t="str">
        <f t="shared" si="1"/>
        <v/>
      </c>
    </row>
    <row r="382" spans="1:24">
      <c r="A382" s="12"/>
      <c r="B382" s="12"/>
      <c r="C382" s="12"/>
      <c r="D382" s="12"/>
      <c r="E382" s="12"/>
      <c r="F382" s="12"/>
      <c r="G382" s="12"/>
      <c r="H382" s="12"/>
      <c r="I382" s="12"/>
      <c r="J382" s="14"/>
      <c r="K382" s="12"/>
      <c r="L382" s="14"/>
      <c r="M382" s="12"/>
      <c r="N382" s="12"/>
      <c r="O382" s="14"/>
      <c r="P382" s="12"/>
      <c r="Q382" s="15"/>
      <c r="R382" s="15"/>
      <c r="S382" s="21"/>
      <c r="T382" s="12"/>
      <c r="U382" s="46"/>
      <c r="V382" s="23"/>
      <c r="W382" s="22" t="str">
        <f t="array" ref="W382">IF(A382="","",IFERROR(INDEX(PARAMETROS!$J$2:$J700,MATCH(H382,PARAMETROS!$E$2:$E700,0)),""))</f>
        <v/>
      </c>
      <c r="X382" s="23" t="str">
        <f t="shared" si="1"/>
        <v/>
      </c>
    </row>
    <row r="383" spans="1:24">
      <c r="A383" s="12"/>
      <c r="B383" s="12"/>
      <c r="C383" s="12"/>
      <c r="D383" s="12"/>
      <c r="E383" s="12"/>
      <c r="F383" s="12"/>
      <c r="G383" s="12"/>
      <c r="H383" s="12"/>
      <c r="I383" s="12"/>
      <c r="J383" s="14"/>
      <c r="K383" s="12"/>
      <c r="L383" s="14"/>
      <c r="M383" s="12"/>
      <c r="N383" s="12"/>
      <c r="O383" s="14"/>
      <c r="P383" s="12"/>
      <c r="Q383" s="15"/>
      <c r="R383" s="15"/>
      <c r="S383" s="21"/>
      <c r="T383" s="12"/>
      <c r="U383" s="46"/>
      <c r="V383" s="23"/>
      <c r="W383" s="22" t="str">
        <f t="array" ref="W383">IF(A383="","",IFERROR(INDEX(PARAMETROS!$J$2:$J700,MATCH(H383,PARAMETROS!$E$2:$E700,0)),""))</f>
        <v/>
      </c>
      <c r="X383" s="23" t="str">
        <f t="shared" si="1"/>
        <v/>
      </c>
    </row>
    <row r="384" spans="1:24">
      <c r="A384" s="12"/>
      <c r="B384" s="12"/>
      <c r="C384" s="12"/>
      <c r="D384" s="12"/>
      <c r="E384" s="12"/>
      <c r="F384" s="12"/>
      <c r="G384" s="12"/>
      <c r="H384" s="12"/>
      <c r="I384" s="12"/>
      <c r="J384" s="14"/>
      <c r="K384" s="12"/>
      <c r="L384" s="14"/>
      <c r="M384" s="12"/>
      <c r="N384" s="12"/>
      <c r="O384" s="14"/>
      <c r="P384" s="12"/>
      <c r="Q384" s="15"/>
      <c r="R384" s="15"/>
      <c r="S384" s="21"/>
      <c r="T384" s="12"/>
      <c r="U384" s="46"/>
      <c r="V384" s="23"/>
      <c r="W384" s="22" t="str">
        <f t="array" ref="W384">IF(A384="","",IFERROR(INDEX(PARAMETROS!$J$2:$J700,MATCH(H384,PARAMETROS!$E$2:$E700,0)),""))</f>
        <v/>
      </c>
      <c r="X384" s="23" t="str">
        <f t="shared" si="1"/>
        <v/>
      </c>
    </row>
    <row r="385" spans="1:24">
      <c r="A385" s="12"/>
      <c r="B385" s="12"/>
      <c r="C385" s="12"/>
      <c r="D385" s="12"/>
      <c r="E385" s="12"/>
      <c r="F385" s="12"/>
      <c r="G385" s="12"/>
      <c r="H385" s="12"/>
      <c r="I385" s="12"/>
      <c r="J385" s="14"/>
      <c r="K385" s="12"/>
      <c r="L385" s="14"/>
      <c r="M385" s="12"/>
      <c r="N385" s="12"/>
      <c r="O385" s="14"/>
      <c r="P385" s="12"/>
      <c r="Q385" s="15"/>
      <c r="R385" s="15"/>
      <c r="S385" s="21"/>
      <c r="T385" s="12"/>
      <c r="U385" s="46"/>
      <c r="V385" s="23"/>
      <c r="W385" s="22" t="str">
        <f t="array" ref="W385">IF(A385="","",IFERROR(INDEX(PARAMETROS!$J$2:$J700,MATCH(H385,PARAMETROS!$E$2:$E700,0)),""))</f>
        <v/>
      </c>
      <c r="X385" s="23" t="str">
        <f t="shared" si="1"/>
        <v/>
      </c>
    </row>
    <row r="386" spans="1:24">
      <c r="A386" s="12"/>
      <c r="B386" s="12"/>
      <c r="C386" s="12"/>
      <c r="D386" s="12"/>
      <c r="E386" s="12"/>
      <c r="F386" s="12"/>
      <c r="G386" s="12"/>
      <c r="H386" s="12"/>
      <c r="I386" s="12"/>
      <c r="J386" s="14"/>
      <c r="K386" s="12"/>
      <c r="L386" s="14"/>
      <c r="M386" s="12"/>
      <c r="N386" s="12"/>
      <c r="O386" s="14"/>
      <c r="P386" s="12"/>
      <c r="Q386" s="15"/>
      <c r="R386" s="15"/>
      <c r="S386" s="21"/>
      <c r="T386" s="12"/>
      <c r="U386" s="46"/>
      <c r="V386" s="23"/>
      <c r="W386" s="22" t="str">
        <f t="array" ref="W386">IF(A386="","",IFERROR(INDEX(PARAMETROS!$J$2:$J700,MATCH(H386,PARAMETROS!$E$2:$E700,0)),""))</f>
        <v/>
      </c>
      <c r="X386" s="23" t="str">
        <f t="shared" si="1"/>
        <v/>
      </c>
    </row>
    <row r="387" spans="1:24">
      <c r="A387" s="12"/>
      <c r="B387" s="12"/>
      <c r="C387" s="12"/>
      <c r="D387" s="12"/>
      <c r="E387" s="12"/>
      <c r="F387" s="12"/>
      <c r="G387" s="12"/>
      <c r="H387" s="12"/>
      <c r="I387" s="12"/>
      <c r="J387" s="14"/>
      <c r="K387" s="12"/>
      <c r="L387" s="14"/>
      <c r="M387" s="12"/>
      <c r="N387" s="12"/>
      <c r="O387" s="14"/>
      <c r="P387" s="12"/>
      <c r="Q387" s="15"/>
      <c r="R387" s="15"/>
      <c r="S387" s="21"/>
      <c r="T387" s="12"/>
      <c r="U387" s="46"/>
      <c r="V387" s="23"/>
      <c r="W387" s="22" t="str">
        <f t="array" ref="W387">IF(A387="","",IFERROR(INDEX(PARAMETROS!$J$2:$J700,MATCH(H387,PARAMETROS!$E$2:$E700,0)),""))</f>
        <v/>
      </c>
      <c r="X387" s="23" t="str">
        <f t="shared" si="1"/>
        <v/>
      </c>
    </row>
    <row r="388" spans="1:24">
      <c r="A388" s="12"/>
      <c r="B388" s="12"/>
      <c r="C388" s="12"/>
      <c r="D388" s="12"/>
      <c r="E388" s="12"/>
      <c r="F388" s="12"/>
      <c r="G388" s="12"/>
      <c r="H388" s="12"/>
      <c r="I388" s="12"/>
      <c r="J388" s="14"/>
      <c r="K388" s="12"/>
      <c r="L388" s="14"/>
      <c r="M388" s="12"/>
      <c r="N388" s="12"/>
      <c r="O388" s="14"/>
      <c r="P388" s="12"/>
      <c r="Q388" s="15"/>
      <c r="R388" s="15"/>
      <c r="S388" s="21"/>
      <c r="T388" s="12"/>
      <c r="U388" s="46"/>
      <c r="V388" s="23"/>
      <c r="W388" s="22" t="str">
        <f t="array" ref="W388">IF(A388="","",IFERROR(INDEX(PARAMETROS!$J$2:$J700,MATCH(H388,PARAMETROS!$E$2:$E700,0)),""))</f>
        <v/>
      </c>
      <c r="X388" s="23" t="str">
        <f t="shared" si="1"/>
        <v/>
      </c>
    </row>
    <row r="389" spans="1:24">
      <c r="A389" s="12"/>
      <c r="B389" s="12"/>
      <c r="C389" s="12"/>
      <c r="D389" s="12"/>
      <c r="E389" s="12"/>
      <c r="F389" s="12"/>
      <c r="G389" s="12"/>
      <c r="H389" s="12"/>
      <c r="I389" s="12"/>
      <c r="J389" s="14"/>
      <c r="K389" s="12"/>
      <c r="L389" s="14"/>
      <c r="M389" s="12"/>
      <c r="N389" s="12"/>
      <c r="O389" s="14"/>
      <c r="P389" s="12"/>
      <c r="Q389" s="15"/>
      <c r="R389" s="15"/>
      <c r="S389" s="21"/>
      <c r="T389" s="12"/>
      <c r="U389" s="46"/>
      <c r="V389" s="23"/>
      <c r="W389" s="22" t="str">
        <f t="array" ref="W389">IF(A389="","",IFERROR(INDEX(PARAMETROS!$J$2:$J700,MATCH(H389,PARAMETROS!$E$2:$E700,0)),""))</f>
        <v/>
      </c>
      <c r="X389" s="23" t="str">
        <f t="shared" si="1"/>
        <v/>
      </c>
    </row>
    <row r="390" spans="1:24">
      <c r="A390" s="12"/>
      <c r="B390" s="12"/>
      <c r="C390" s="12"/>
      <c r="D390" s="12"/>
      <c r="E390" s="12"/>
      <c r="F390" s="12"/>
      <c r="G390" s="12"/>
      <c r="H390" s="12"/>
      <c r="I390" s="12"/>
      <c r="J390" s="14"/>
      <c r="K390" s="12"/>
      <c r="L390" s="14"/>
      <c r="M390" s="12"/>
      <c r="N390" s="12"/>
      <c r="O390" s="14"/>
      <c r="P390" s="12"/>
      <c r="Q390" s="15"/>
      <c r="R390" s="15"/>
      <c r="S390" s="21"/>
      <c r="T390" s="12"/>
      <c r="U390" s="46"/>
      <c r="V390" s="23"/>
      <c r="W390" s="22" t="str">
        <f t="array" ref="W390">IF(A390="","",IFERROR(INDEX(PARAMETROS!$J$2:$J700,MATCH(H390,PARAMETROS!$E$2:$E700,0)),""))</f>
        <v/>
      </c>
      <c r="X390" s="23" t="str">
        <f t="shared" si="1"/>
        <v/>
      </c>
    </row>
    <row r="391" spans="1:24">
      <c r="A391" s="12"/>
      <c r="B391" s="12"/>
      <c r="C391" s="12"/>
      <c r="D391" s="12"/>
      <c r="E391" s="12"/>
      <c r="F391" s="12"/>
      <c r="G391" s="12"/>
      <c r="H391" s="12"/>
      <c r="I391" s="12"/>
      <c r="J391" s="14"/>
      <c r="K391" s="12"/>
      <c r="L391" s="14"/>
      <c r="M391" s="12"/>
      <c r="N391" s="12"/>
      <c r="O391" s="14"/>
      <c r="P391" s="12"/>
      <c r="Q391" s="15"/>
      <c r="R391" s="15"/>
      <c r="S391" s="21"/>
      <c r="T391" s="12"/>
      <c r="U391" s="46"/>
      <c r="V391" s="23"/>
      <c r="W391" s="22" t="str">
        <f t="array" ref="W391">IF(A391="","",IFERROR(INDEX(PARAMETROS!$J$2:$J700,MATCH(H391,PARAMETROS!$E$2:$E700,0)),""))</f>
        <v/>
      </c>
      <c r="X391" s="23" t="str">
        <f t="shared" si="1"/>
        <v/>
      </c>
    </row>
    <row r="392" spans="1:24">
      <c r="A392" s="12"/>
      <c r="B392" s="12"/>
      <c r="C392" s="12"/>
      <c r="D392" s="12"/>
      <c r="E392" s="12"/>
      <c r="F392" s="12"/>
      <c r="G392" s="12"/>
      <c r="H392" s="12"/>
      <c r="I392" s="12"/>
      <c r="J392" s="14"/>
      <c r="K392" s="12"/>
      <c r="L392" s="14"/>
      <c r="M392" s="12"/>
      <c r="N392" s="12"/>
      <c r="O392" s="14"/>
      <c r="P392" s="12"/>
      <c r="Q392" s="15"/>
      <c r="R392" s="15"/>
      <c r="S392" s="21"/>
      <c r="T392" s="12"/>
      <c r="U392" s="46"/>
      <c r="V392" s="23"/>
      <c r="W392" s="22" t="str">
        <f t="array" ref="W392">IF(A392="","",IFERROR(INDEX(PARAMETROS!$J$2:$J700,MATCH(H392,PARAMETROS!$E$2:$E700,0)),""))</f>
        <v/>
      </c>
      <c r="X392" s="23" t="str">
        <f t="shared" si="1"/>
        <v/>
      </c>
    </row>
    <row r="393" spans="1:24">
      <c r="A393" s="12"/>
      <c r="B393" s="12"/>
      <c r="C393" s="12"/>
      <c r="D393" s="12"/>
      <c r="E393" s="12"/>
      <c r="F393" s="12"/>
      <c r="G393" s="12"/>
      <c r="H393" s="12"/>
      <c r="I393" s="12"/>
      <c r="J393" s="14"/>
      <c r="K393" s="12"/>
      <c r="L393" s="14"/>
      <c r="M393" s="12"/>
      <c r="N393" s="12"/>
      <c r="O393" s="14"/>
      <c r="P393" s="12"/>
      <c r="Q393" s="15"/>
      <c r="R393" s="15"/>
      <c r="S393" s="21"/>
      <c r="T393" s="12"/>
      <c r="U393" s="46"/>
      <c r="V393" s="23"/>
      <c r="W393" s="22" t="str">
        <f t="array" ref="W393">IF(A393="","",IFERROR(INDEX(PARAMETROS!$J$2:$J700,MATCH(H393,PARAMETROS!$E$2:$E700,0)),""))</f>
        <v/>
      </c>
      <c r="X393" s="23" t="str">
        <f t="shared" si="1"/>
        <v/>
      </c>
    </row>
    <row r="394" spans="1:24">
      <c r="A394" s="12"/>
      <c r="B394" s="12"/>
      <c r="C394" s="12"/>
      <c r="D394" s="12"/>
      <c r="E394" s="12"/>
      <c r="F394" s="12"/>
      <c r="G394" s="12"/>
      <c r="H394" s="12"/>
      <c r="I394" s="12"/>
      <c r="J394" s="14"/>
      <c r="K394" s="12"/>
      <c r="L394" s="14"/>
      <c r="M394" s="12"/>
      <c r="N394" s="12"/>
      <c r="O394" s="14"/>
      <c r="P394" s="12"/>
      <c r="Q394" s="15"/>
      <c r="R394" s="15"/>
      <c r="S394" s="21"/>
      <c r="T394" s="12"/>
      <c r="U394" s="46"/>
      <c r="V394" s="23"/>
      <c r="W394" s="22" t="str">
        <f t="array" ref="W394">IF(A394="","",IFERROR(INDEX(PARAMETROS!$J$2:$J700,MATCH(H394,PARAMETROS!$E$2:$E700,0)),""))</f>
        <v/>
      </c>
      <c r="X394" s="23" t="str">
        <f t="shared" si="1"/>
        <v/>
      </c>
    </row>
    <row r="395" spans="1:24">
      <c r="A395" s="12"/>
      <c r="B395" s="12"/>
      <c r="C395" s="12"/>
      <c r="D395" s="12"/>
      <c r="E395" s="12"/>
      <c r="F395" s="12"/>
      <c r="G395" s="12"/>
      <c r="H395" s="12"/>
      <c r="I395" s="12"/>
      <c r="J395" s="14"/>
      <c r="K395" s="12"/>
      <c r="L395" s="14"/>
      <c r="M395" s="12"/>
      <c r="N395" s="12"/>
      <c r="O395" s="14"/>
      <c r="P395" s="12"/>
      <c r="Q395" s="15"/>
      <c r="R395" s="15"/>
      <c r="S395" s="21"/>
      <c r="T395" s="12"/>
      <c r="U395" s="46"/>
      <c r="V395" s="23"/>
      <c r="W395" s="22" t="str">
        <f t="array" ref="W395">IF(A395="","",IFERROR(INDEX(PARAMETROS!$J$2:$J700,MATCH(H395,PARAMETROS!$E$2:$E700,0)),""))</f>
        <v/>
      </c>
      <c r="X395" s="23" t="str">
        <f t="shared" si="1"/>
        <v/>
      </c>
    </row>
    <row r="396" spans="1:24">
      <c r="A396" s="12"/>
      <c r="B396" s="12"/>
      <c r="C396" s="12"/>
      <c r="D396" s="12"/>
      <c r="E396" s="12"/>
      <c r="F396" s="12"/>
      <c r="G396" s="12"/>
      <c r="H396" s="12"/>
      <c r="I396" s="12"/>
      <c r="J396" s="14"/>
      <c r="K396" s="12"/>
      <c r="L396" s="14"/>
      <c r="M396" s="12"/>
      <c r="N396" s="12"/>
      <c r="O396" s="14"/>
      <c r="P396" s="12"/>
      <c r="Q396" s="15"/>
      <c r="R396" s="15"/>
      <c r="S396" s="21"/>
      <c r="T396" s="12"/>
      <c r="U396" s="46"/>
      <c r="V396" s="23"/>
      <c r="W396" s="22" t="str">
        <f t="array" ref="W396">IF(A396="","",IFERROR(INDEX(PARAMETROS!$J$2:$J700,MATCH(H396,PARAMETROS!$E$2:$E700,0)),""))</f>
        <v/>
      </c>
      <c r="X396" s="23" t="str">
        <f t="shared" si="1"/>
        <v/>
      </c>
    </row>
    <row r="397" spans="1:24">
      <c r="A397" s="12"/>
      <c r="B397" s="12"/>
      <c r="C397" s="12"/>
      <c r="D397" s="12"/>
      <c r="E397" s="12"/>
      <c r="F397" s="12"/>
      <c r="G397" s="12"/>
      <c r="H397" s="12"/>
      <c r="I397" s="12"/>
      <c r="J397" s="14"/>
      <c r="K397" s="12"/>
      <c r="L397" s="14"/>
      <c r="M397" s="12"/>
      <c r="N397" s="12"/>
      <c r="O397" s="14"/>
      <c r="P397" s="12"/>
      <c r="Q397" s="15"/>
      <c r="R397" s="15"/>
      <c r="S397" s="21"/>
      <c r="T397" s="12"/>
      <c r="U397" s="46"/>
      <c r="V397" s="23"/>
      <c r="W397" s="22" t="str">
        <f t="array" ref="W397">IF(A397="","",IFERROR(INDEX(PARAMETROS!$J$2:$J700,MATCH(H397,PARAMETROS!$E$2:$E700,0)),""))</f>
        <v/>
      </c>
      <c r="X397" s="23" t="str">
        <f t="shared" si="1"/>
        <v/>
      </c>
    </row>
    <row r="398" spans="1:24">
      <c r="A398" s="12"/>
      <c r="B398" s="12"/>
      <c r="C398" s="12"/>
      <c r="D398" s="12"/>
      <c r="E398" s="12"/>
      <c r="F398" s="12"/>
      <c r="G398" s="12"/>
      <c r="H398" s="12"/>
      <c r="I398" s="12"/>
      <c r="J398" s="14"/>
      <c r="K398" s="12"/>
      <c r="L398" s="14"/>
      <c r="M398" s="12"/>
      <c r="N398" s="12"/>
      <c r="O398" s="14"/>
      <c r="P398" s="12"/>
      <c r="Q398" s="15"/>
      <c r="R398" s="15"/>
      <c r="S398" s="21"/>
      <c r="T398" s="12"/>
      <c r="U398" s="46"/>
      <c r="V398" s="23"/>
      <c r="W398" s="22" t="str">
        <f t="array" ref="W398">IF(A398="","",IFERROR(INDEX(PARAMETROS!$J$2:$J700,MATCH(H398,PARAMETROS!$E$2:$E700,0)),""))</f>
        <v/>
      </c>
      <c r="X398" s="23" t="str">
        <f t="shared" si="1"/>
        <v/>
      </c>
    </row>
    <row r="399" spans="1:24">
      <c r="A399" s="12"/>
      <c r="B399" s="12"/>
      <c r="C399" s="12"/>
      <c r="D399" s="12"/>
      <c r="E399" s="12"/>
      <c r="F399" s="12"/>
      <c r="G399" s="12"/>
      <c r="H399" s="12"/>
      <c r="I399" s="12"/>
      <c r="J399" s="14"/>
      <c r="K399" s="12"/>
      <c r="L399" s="14"/>
      <c r="M399" s="12"/>
      <c r="N399" s="12"/>
      <c r="O399" s="14"/>
      <c r="P399" s="12"/>
      <c r="Q399" s="15"/>
      <c r="R399" s="15"/>
      <c r="S399" s="21"/>
      <c r="T399" s="12"/>
      <c r="U399" s="46"/>
      <c r="V399" s="23"/>
      <c r="W399" s="22" t="str">
        <f t="array" ref="W399">IF(A399="","",IFERROR(INDEX(PARAMETROS!$J$2:$J700,MATCH(H399,PARAMETROS!$E$2:$E700,0)),""))</f>
        <v/>
      </c>
      <c r="X399" s="23" t="str">
        <f t="shared" si="1"/>
        <v/>
      </c>
    </row>
    <row r="400" spans="1:24">
      <c r="A400" s="12"/>
      <c r="B400" s="12"/>
      <c r="C400" s="12"/>
      <c r="D400" s="12"/>
      <c r="E400" s="12"/>
      <c r="F400" s="12"/>
      <c r="G400" s="12"/>
      <c r="H400" s="12"/>
      <c r="I400" s="12"/>
      <c r="J400" s="14"/>
      <c r="K400" s="12"/>
      <c r="L400" s="14"/>
      <c r="M400" s="12"/>
      <c r="N400" s="12"/>
      <c r="O400" s="14"/>
      <c r="P400" s="12"/>
      <c r="Q400" s="15"/>
      <c r="R400" s="15"/>
      <c r="S400" s="21"/>
      <c r="T400" s="12"/>
      <c r="U400" s="46"/>
      <c r="V400" s="23"/>
      <c r="W400" s="22" t="str">
        <f t="array" ref="W400">IF(A400="","",IFERROR(INDEX(PARAMETROS!$J$2:$J700,MATCH(H400,PARAMETROS!$E$2:$E700,0)),""))</f>
        <v/>
      </c>
      <c r="X400" s="23" t="str">
        <f t="shared" si="1"/>
        <v/>
      </c>
    </row>
    <row r="401" spans="1:24">
      <c r="A401" s="12"/>
      <c r="B401" s="12"/>
      <c r="C401" s="12"/>
      <c r="D401" s="12"/>
      <c r="E401" s="12"/>
      <c r="F401" s="12"/>
      <c r="G401" s="12"/>
      <c r="H401" s="12"/>
      <c r="I401" s="12"/>
      <c r="J401" s="14"/>
      <c r="K401" s="12"/>
      <c r="L401" s="14"/>
      <c r="M401" s="12"/>
      <c r="N401" s="12"/>
      <c r="O401" s="14"/>
      <c r="P401" s="12"/>
      <c r="Q401" s="15"/>
      <c r="R401" s="15"/>
      <c r="S401" s="21"/>
      <c r="T401" s="12"/>
      <c r="U401" s="46"/>
      <c r="V401" s="23"/>
      <c r="W401" s="22" t="str">
        <f t="array" ref="W401">IF(A401="","",IFERROR(INDEX(PARAMETROS!$J$2:$J700,MATCH(H401,PARAMETROS!$E$2:$E700,0)),""))</f>
        <v/>
      </c>
      <c r="X401" s="23" t="str">
        <f t="shared" si="1"/>
        <v/>
      </c>
    </row>
    <row r="402" spans="1:24">
      <c r="A402" s="12"/>
      <c r="B402" s="12"/>
      <c r="C402" s="12"/>
      <c r="D402" s="12"/>
      <c r="E402" s="12"/>
      <c r="F402" s="12"/>
      <c r="G402" s="12"/>
      <c r="H402" s="12"/>
      <c r="I402" s="12"/>
      <c r="J402" s="14"/>
      <c r="K402" s="12"/>
      <c r="L402" s="14"/>
      <c r="M402" s="12"/>
      <c r="N402" s="12"/>
      <c r="O402" s="14"/>
      <c r="P402" s="12"/>
      <c r="Q402" s="15"/>
      <c r="R402" s="15"/>
      <c r="S402" s="21"/>
      <c r="T402" s="12"/>
      <c r="U402" s="46"/>
      <c r="V402" s="23"/>
      <c r="W402" s="22" t="str">
        <f t="array" ref="W402">IF(A402="","",IFERROR(INDEX(PARAMETROS!$J$2:$J700,MATCH(H402,PARAMETROS!$E$2:$E700,0)),""))</f>
        <v/>
      </c>
      <c r="X402" s="23" t="str">
        <f t="shared" si="1"/>
        <v/>
      </c>
    </row>
    <row r="403" spans="1:24">
      <c r="A403" s="12"/>
      <c r="B403" s="12"/>
      <c r="C403" s="12"/>
      <c r="D403" s="12"/>
      <c r="E403" s="12"/>
      <c r="F403" s="12"/>
      <c r="G403" s="12"/>
      <c r="H403" s="12"/>
      <c r="I403" s="12"/>
      <c r="J403" s="14"/>
      <c r="K403" s="12"/>
      <c r="L403" s="14"/>
      <c r="M403" s="12"/>
      <c r="N403" s="12"/>
      <c r="O403" s="14"/>
      <c r="P403" s="12"/>
      <c r="Q403" s="15"/>
      <c r="R403" s="15"/>
      <c r="S403" s="21"/>
      <c r="T403" s="12"/>
      <c r="U403" s="46"/>
      <c r="V403" s="23"/>
      <c r="W403" s="22" t="str">
        <f t="array" ref="W403">IF(A403="","",IFERROR(INDEX(PARAMETROS!$J$2:$J700,MATCH(H403,PARAMETROS!$E$2:$E700,0)),""))</f>
        <v/>
      </c>
      <c r="X403" s="23" t="str">
        <f t="shared" si="1"/>
        <v/>
      </c>
    </row>
    <row r="404" spans="1:24">
      <c r="A404" s="12"/>
      <c r="B404" s="12"/>
      <c r="C404" s="12"/>
      <c r="D404" s="12"/>
      <c r="E404" s="12"/>
      <c r="F404" s="12"/>
      <c r="G404" s="12"/>
      <c r="H404" s="12"/>
      <c r="I404" s="12"/>
      <c r="J404" s="14"/>
      <c r="K404" s="12"/>
      <c r="L404" s="14"/>
      <c r="M404" s="12"/>
      <c r="N404" s="12"/>
      <c r="O404" s="14"/>
      <c r="P404" s="12"/>
      <c r="Q404" s="15"/>
      <c r="R404" s="15"/>
      <c r="S404" s="21"/>
      <c r="T404" s="12"/>
      <c r="U404" s="46"/>
      <c r="V404" s="23"/>
      <c r="W404" s="22" t="str">
        <f t="array" ref="W404">IF(A404="","",IFERROR(INDEX(PARAMETROS!$J$2:$J700,MATCH(H404,PARAMETROS!$E$2:$E700,0)),""))</f>
        <v/>
      </c>
      <c r="X404" s="23" t="str">
        <f t="shared" si="1"/>
        <v/>
      </c>
    </row>
    <row r="405" spans="1:24">
      <c r="A405" s="12"/>
      <c r="B405" s="12"/>
      <c r="C405" s="12"/>
      <c r="D405" s="12"/>
      <c r="E405" s="12"/>
      <c r="F405" s="12"/>
      <c r="G405" s="12"/>
      <c r="H405" s="12"/>
      <c r="I405" s="12"/>
      <c r="J405" s="14"/>
      <c r="K405" s="12"/>
      <c r="L405" s="14"/>
      <c r="M405" s="12"/>
      <c r="N405" s="12"/>
      <c r="O405" s="14"/>
      <c r="P405" s="12"/>
      <c r="Q405" s="15"/>
      <c r="R405" s="15"/>
      <c r="S405" s="21"/>
      <c r="T405" s="12"/>
      <c r="U405" s="46"/>
      <c r="V405" s="23"/>
      <c r="W405" s="22" t="str">
        <f t="array" ref="W405">IF(A405="","",IFERROR(INDEX(PARAMETROS!$J$2:$J700,MATCH(H405,PARAMETROS!$E$2:$E700,0)),""))</f>
        <v/>
      </c>
      <c r="X405" s="23" t="str">
        <f t="shared" si="1"/>
        <v/>
      </c>
    </row>
    <row r="406" spans="1:24">
      <c r="A406" s="12"/>
      <c r="B406" s="12"/>
      <c r="C406" s="12"/>
      <c r="D406" s="12"/>
      <c r="E406" s="12"/>
      <c r="F406" s="12"/>
      <c r="G406" s="12"/>
      <c r="H406" s="12"/>
      <c r="I406" s="12"/>
      <c r="J406" s="14"/>
      <c r="K406" s="12"/>
      <c r="L406" s="14"/>
      <c r="M406" s="12"/>
      <c r="N406" s="12"/>
      <c r="O406" s="14"/>
      <c r="P406" s="12"/>
      <c r="Q406" s="15"/>
      <c r="R406" s="15"/>
      <c r="S406" s="21"/>
      <c r="T406" s="12"/>
      <c r="U406" s="46"/>
      <c r="V406" s="23"/>
      <c r="W406" s="22" t="str">
        <f t="array" ref="W406">IF(A406="","",IFERROR(INDEX(PARAMETROS!$J$2:$J700,MATCH(H406,PARAMETROS!$E$2:$E700,0)),""))</f>
        <v/>
      </c>
      <c r="X406" s="23" t="str">
        <f t="shared" si="1"/>
        <v/>
      </c>
    </row>
    <row r="407" spans="1:24">
      <c r="A407" s="12"/>
      <c r="B407" s="12"/>
      <c r="C407" s="12"/>
      <c r="D407" s="12"/>
      <c r="E407" s="12"/>
      <c r="F407" s="12"/>
      <c r="G407" s="12"/>
      <c r="H407" s="12"/>
      <c r="I407" s="12"/>
      <c r="J407" s="14"/>
      <c r="K407" s="12"/>
      <c r="L407" s="14"/>
      <c r="M407" s="12"/>
      <c r="N407" s="12"/>
      <c r="O407" s="14"/>
      <c r="P407" s="12"/>
      <c r="Q407" s="15"/>
      <c r="R407" s="15"/>
      <c r="S407" s="21"/>
      <c r="T407" s="12"/>
      <c r="U407" s="46"/>
      <c r="V407" s="23"/>
      <c r="W407" s="22" t="str">
        <f t="array" ref="W407">IF(A407="","",IFERROR(INDEX(PARAMETROS!$J$2:$J700,MATCH(H407,PARAMETROS!$E$2:$E700,0)),""))</f>
        <v/>
      </c>
      <c r="X407" s="23" t="str">
        <f t="shared" si="1"/>
        <v/>
      </c>
    </row>
    <row r="408" spans="1:24">
      <c r="A408" s="12"/>
      <c r="B408" s="12"/>
      <c r="C408" s="12"/>
      <c r="D408" s="12"/>
      <c r="E408" s="12"/>
      <c r="F408" s="12"/>
      <c r="G408" s="12"/>
      <c r="H408" s="12"/>
      <c r="I408" s="12"/>
      <c r="J408" s="14"/>
      <c r="K408" s="12"/>
      <c r="L408" s="14"/>
      <c r="M408" s="12"/>
      <c r="N408" s="12"/>
      <c r="O408" s="14"/>
      <c r="P408" s="12"/>
      <c r="Q408" s="15"/>
      <c r="R408" s="15"/>
      <c r="S408" s="21"/>
      <c r="T408" s="12"/>
      <c r="U408" s="46"/>
      <c r="V408" s="23"/>
      <c r="W408" s="22" t="str">
        <f t="array" ref="W408">IF(A408="","",IFERROR(INDEX(PARAMETROS!$J$2:$J700,MATCH(H408,PARAMETROS!$E$2:$E700,0)),""))</f>
        <v/>
      </c>
      <c r="X408" s="23" t="str">
        <f t="shared" si="1"/>
        <v/>
      </c>
    </row>
    <row r="409" spans="1:24">
      <c r="A409" s="12"/>
      <c r="B409" s="12"/>
      <c r="C409" s="12"/>
      <c r="D409" s="12"/>
      <c r="E409" s="12"/>
      <c r="F409" s="12"/>
      <c r="G409" s="12"/>
      <c r="H409" s="12"/>
      <c r="I409" s="12"/>
      <c r="J409" s="14"/>
      <c r="K409" s="12"/>
      <c r="L409" s="14"/>
      <c r="M409" s="12"/>
      <c r="N409" s="12"/>
      <c r="O409" s="14"/>
      <c r="P409" s="12"/>
      <c r="Q409" s="15"/>
      <c r="R409" s="15"/>
      <c r="S409" s="21"/>
      <c r="T409" s="12"/>
      <c r="U409" s="46"/>
      <c r="V409" s="23"/>
      <c r="W409" s="22" t="str">
        <f t="array" ref="W409">IF(A409="","",IFERROR(INDEX(PARAMETROS!$J$2:$J700,MATCH(H409,PARAMETROS!$E$2:$E700,0)),""))</f>
        <v/>
      </c>
      <c r="X409" s="23" t="str">
        <f t="shared" si="1"/>
        <v/>
      </c>
    </row>
    <row r="410" spans="1:24">
      <c r="A410" s="12"/>
      <c r="B410" s="12"/>
      <c r="C410" s="12"/>
      <c r="D410" s="12"/>
      <c r="E410" s="12"/>
      <c r="F410" s="12"/>
      <c r="G410" s="12"/>
      <c r="H410" s="12"/>
      <c r="I410" s="12"/>
      <c r="J410" s="14"/>
      <c r="K410" s="12"/>
      <c r="L410" s="14"/>
      <c r="M410" s="12"/>
      <c r="N410" s="12"/>
      <c r="O410" s="14"/>
      <c r="P410" s="12"/>
      <c r="Q410" s="15"/>
      <c r="R410" s="15"/>
      <c r="S410" s="21"/>
      <c r="T410" s="12"/>
      <c r="U410" s="46"/>
      <c r="V410" s="23"/>
      <c r="W410" s="22" t="str">
        <f t="array" ref="W410">IF(A410="","",IFERROR(INDEX(PARAMETROS!$J$2:$J700,MATCH(H410,PARAMETROS!$E$2:$E700,0)),""))</f>
        <v/>
      </c>
      <c r="X410" s="23" t="str">
        <f t="shared" si="1"/>
        <v/>
      </c>
    </row>
    <row r="411" spans="1:24">
      <c r="A411" s="12"/>
      <c r="B411" s="12"/>
      <c r="C411" s="12"/>
      <c r="D411" s="12"/>
      <c r="E411" s="12"/>
      <c r="F411" s="12"/>
      <c r="G411" s="12"/>
      <c r="H411" s="12"/>
      <c r="I411" s="12"/>
      <c r="J411" s="14"/>
      <c r="K411" s="12"/>
      <c r="L411" s="14"/>
      <c r="M411" s="12"/>
      <c r="N411" s="12"/>
      <c r="O411" s="14"/>
      <c r="P411" s="12"/>
      <c r="Q411" s="15"/>
      <c r="R411" s="15"/>
      <c r="S411" s="21"/>
      <c r="T411" s="12"/>
      <c r="U411" s="46"/>
      <c r="V411" s="23"/>
      <c r="W411" s="22" t="str">
        <f t="array" ref="W411">IF(A411="","",IFERROR(INDEX(PARAMETROS!$J$2:$J700,MATCH(H411,PARAMETROS!$E$2:$E700,0)),""))</f>
        <v/>
      </c>
      <c r="X411" s="23" t="str">
        <f t="shared" si="1"/>
        <v/>
      </c>
    </row>
    <row r="412" spans="1:24">
      <c r="A412" s="12"/>
      <c r="B412" s="12"/>
      <c r="C412" s="12"/>
      <c r="D412" s="12"/>
      <c r="E412" s="12"/>
      <c r="F412" s="12"/>
      <c r="G412" s="12"/>
      <c r="H412" s="12"/>
      <c r="I412" s="12"/>
      <c r="J412" s="14"/>
      <c r="K412" s="12"/>
      <c r="L412" s="14"/>
      <c r="M412" s="12"/>
      <c r="N412" s="12"/>
      <c r="O412" s="14"/>
      <c r="P412" s="12"/>
      <c r="Q412" s="15"/>
      <c r="R412" s="15"/>
      <c r="S412" s="21"/>
      <c r="T412" s="12"/>
      <c r="U412" s="46"/>
      <c r="V412" s="23"/>
      <c r="W412" s="22" t="str">
        <f t="array" ref="W412">IF(A412="","",IFERROR(INDEX(PARAMETROS!$J$2:$J700,MATCH(H412,PARAMETROS!$E$2:$E700,0)),""))</f>
        <v/>
      </c>
      <c r="X412" s="23" t="str">
        <f t="shared" si="1"/>
        <v/>
      </c>
    </row>
    <row r="413" spans="1:24">
      <c r="A413" s="12"/>
      <c r="B413" s="12"/>
      <c r="C413" s="12"/>
      <c r="D413" s="12"/>
      <c r="E413" s="12"/>
      <c r="F413" s="12"/>
      <c r="G413" s="12"/>
      <c r="H413" s="12"/>
      <c r="I413" s="12"/>
      <c r="J413" s="14"/>
      <c r="K413" s="12"/>
      <c r="L413" s="14"/>
      <c r="M413" s="12"/>
      <c r="N413" s="12"/>
      <c r="O413" s="14"/>
      <c r="P413" s="12"/>
      <c r="Q413" s="15"/>
      <c r="R413" s="15"/>
      <c r="S413" s="21"/>
      <c r="T413" s="12"/>
      <c r="U413" s="46"/>
      <c r="V413" s="23"/>
      <c r="W413" s="22" t="str">
        <f t="array" ref="W413">IF(A413="","",IFERROR(INDEX(PARAMETROS!$J$2:$J700,MATCH(H413,PARAMETROS!$E$2:$E700,0)),""))</f>
        <v/>
      </c>
      <c r="X413" s="23" t="str">
        <f t="shared" si="1"/>
        <v/>
      </c>
    </row>
    <row r="414" spans="1:24">
      <c r="A414" s="12"/>
      <c r="B414" s="12"/>
      <c r="C414" s="12"/>
      <c r="D414" s="12"/>
      <c r="E414" s="12"/>
      <c r="F414" s="12"/>
      <c r="G414" s="12"/>
      <c r="H414" s="12"/>
      <c r="I414" s="12"/>
      <c r="J414" s="14"/>
      <c r="K414" s="12"/>
      <c r="L414" s="14"/>
      <c r="M414" s="12"/>
      <c r="N414" s="12"/>
      <c r="O414" s="14"/>
      <c r="P414" s="12"/>
      <c r="Q414" s="15"/>
      <c r="R414" s="15"/>
      <c r="S414" s="21"/>
      <c r="T414" s="12"/>
      <c r="U414" s="46"/>
      <c r="V414" s="23"/>
      <c r="W414" s="22" t="str">
        <f t="array" ref="W414">IF(A414="","",IFERROR(INDEX(PARAMETROS!$J$2:$J700,MATCH(H414,PARAMETROS!$E$2:$E700,0)),""))</f>
        <v/>
      </c>
      <c r="X414" s="23" t="str">
        <f t="shared" si="1"/>
        <v/>
      </c>
    </row>
    <row r="415" spans="1:24">
      <c r="A415" s="12"/>
      <c r="B415" s="12"/>
      <c r="C415" s="12"/>
      <c r="D415" s="12"/>
      <c r="E415" s="12"/>
      <c r="F415" s="12"/>
      <c r="G415" s="12"/>
      <c r="H415" s="12"/>
      <c r="I415" s="12"/>
      <c r="J415" s="14"/>
      <c r="K415" s="12"/>
      <c r="L415" s="14"/>
      <c r="M415" s="12"/>
      <c r="N415" s="12"/>
      <c r="O415" s="14"/>
      <c r="P415" s="12"/>
      <c r="Q415" s="15"/>
      <c r="R415" s="15"/>
      <c r="S415" s="21"/>
      <c r="T415" s="12"/>
      <c r="U415" s="46"/>
      <c r="V415" s="23"/>
      <c r="W415" s="22" t="str">
        <f t="array" ref="W415">IF(A415="","",IFERROR(INDEX(PARAMETROS!$J$2:$J700,MATCH(H415,PARAMETROS!$E$2:$E700,0)),""))</f>
        <v/>
      </c>
      <c r="X415" s="23" t="str">
        <f t="shared" si="1"/>
        <v/>
      </c>
    </row>
    <row r="416" spans="1:24">
      <c r="A416" s="12"/>
      <c r="B416" s="12"/>
      <c r="C416" s="12"/>
      <c r="D416" s="12"/>
      <c r="E416" s="12"/>
      <c r="F416" s="12"/>
      <c r="G416" s="12"/>
      <c r="H416" s="12"/>
      <c r="I416" s="12"/>
      <c r="J416" s="14"/>
      <c r="K416" s="12"/>
      <c r="L416" s="14"/>
      <c r="M416" s="12"/>
      <c r="N416" s="12"/>
      <c r="O416" s="14"/>
      <c r="P416" s="12"/>
      <c r="Q416" s="15"/>
      <c r="R416" s="15"/>
      <c r="S416" s="21"/>
      <c r="T416" s="12"/>
      <c r="U416" s="46"/>
      <c r="V416" s="23"/>
      <c r="W416" s="22" t="str">
        <f t="array" ref="W416">IF(A416="","",IFERROR(INDEX(PARAMETROS!$J$2:$J700,MATCH(H416,PARAMETROS!$E$2:$E700,0)),""))</f>
        <v/>
      </c>
      <c r="X416" s="23" t="str">
        <f t="shared" si="1"/>
        <v/>
      </c>
    </row>
    <row r="417" spans="1:24">
      <c r="A417" s="12"/>
      <c r="B417" s="12"/>
      <c r="C417" s="12"/>
      <c r="D417" s="12"/>
      <c r="E417" s="12"/>
      <c r="F417" s="12"/>
      <c r="G417" s="12"/>
      <c r="H417" s="12"/>
      <c r="I417" s="12"/>
      <c r="J417" s="14"/>
      <c r="K417" s="12"/>
      <c r="L417" s="14"/>
      <c r="M417" s="12"/>
      <c r="N417" s="12"/>
      <c r="O417" s="14"/>
      <c r="P417" s="12"/>
      <c r="Q417" s="15"/>
      <c r="R417" s="15"/>
      <c r="S417" s="21"/>
      <c r="T417" s="12"/>
      <c r="U417" s="46"/>
      <c r="V417" s="23"/>
      <c r="W417" s="22" t="str">
        <f t="array" ref="W417">IF(A417="","",IFERROR(INDEX(PARAMETROS!$J$2:$J700,MATCH(H417,PARAMETROS!$E$2:$E700,0)),""))</f>
        <v/>
      </c>
      <c r="X417" s="23" t="str">
        <f t="shared" si="1"/>
        <v/>
      </c>
    </row>
    <row r="418" spans="1:24">
      <c r="A418" s="12"/>
      <c r="B418" s="12"/>
      <c r="C418" s="12"/>
      <c r="D418" s="12"/>
      <c r="E418" s="12"/>
      <c r="F418" s="12"/>
      <c r="G418" s="12"/>
      <c r="H418" s="12"/>
      <c r="I418" s="12"/>
      <c r="J418" s="14"/>
      <c r="K418" s="12"/>
      <c r="L418" s="14"/>
      <c r="M418" s="12"/>
      <c r="N418" s="12"/>
      <c r="O418" s="14"/>
      <c r="P418" s="12"/>
      <c r="Q418" s="15"/>
      <c r="R418" s="15"/>
      <c r="S418" s="21"/>
      <c r="T418" s="12"/>
      <c r="U418" s="46"/>
      <c r="V418" s="23"/>
      <c r="W418" s="22" t="str">
        <f t="array" ref="W418">IF(A418="","",IFERROR(INDEX(PARAMETROS!$J$2:$J700,MATCH(H418,PARAMETROS!$E$2:$E700,0)),""))</f>
        <v/>
      </c>
      <c r="X418" s="23" t="str">
        <f t="shared" si="1"/>
        <v/>
      </c>
    </row>
    <row r="419" spans="1:24">
      <c r="A419" s="12"/>
      <c r="B419" s="12"/>
      <c r="C419" s="12"/>
      <c r="D419" s="12"/>
      <c r="E419" s="12"/>
      <c r="F419" s="12"/>
      <c r="G419" s="12"/>
      <c r="H419" s="12"/>
      <c r="I419" s="12"/>
      <c r="J419" s="14"/>
      <c r="K419" s="12"/>
      <c r="L419" s="14"/>
      <c r="M419" s="12"/>
      <c r="N419" s="12"/>
      <c r="O419" s="14"/>
      <c r="P419" s="12"/>
      <c r="Q419" s="15"/>
      <c r="R419" s="15"/>
      <c r="S419" s="21"/>
      <c r="T419" s="12"/>
      <c r="U419" s="46"/>
      <c r="V419" s="23"/>
      <c r="W419" s="22" t="str">
        <f t="array" ref="W419">IF(A419="","",IFERROR(INDEX(PARAMETROS!$J$2:$J700,MATCH(H419,PARAMETROS!$E$2:$E700,0)),""))</f>
        <v/>
      </c>
      <c r="X419" s="23" t="str">
        <f t="shared" si="1"/>
        <v/>
      </c>
    </row>
    <row r="420" spans="1:24">
      <c r="A420" s="12"/>
      <c r="B420" s="12"/>
      <c r="C420" s="12"/>
      <c r="D420" s="12"/>
      <c r="E420" s="12"/>
      <c r="F420" s="12"/>
      <c r="G420" s="12"/>
      <c r="H420" s="12"/>
      <c r="I420" s="12"/>
      <c r="J420" s="14"/>
      <c r="K420" s="12"/>
      <c r="L420" s="14"/>
      <c r="M420" s="12"/>
      <c r="N420" s="12"/>
      <c r="O420" s="14"/>
      <c r="P420" s="12"/>
      <c r="Q420" s="15"/>
      <c r="R420" s="15"/>
      <c r="S420" s="21"/>
      <c r="T420" s="12"/>
      <c r="U420" s="46"/>
      <c r="V420" s="23"/>
      <c r="W420" s="22" t="str">
        <f t="array" ref="W420">IF(A420="","",IFERROR(INDEX(PARAMETROS!$J$2:$J700,MATCH(H420,PARAMETROS!$E$2:$E700,0)),""))</f>
        <v/>
      </c>
      <c r="X420" s="23" t="str">
        <f t="shared" si="1"/>
        <v/>
      </c>
    </row>
    <row r="421" spans="1:24">
      <c r="A421" s="12"/>
      <c r="B421" s="12"/>
      <c r="C421" s="12"/>
      <c r="D421" s="12"/>
      <c r="E421" s="12"/>
      <c r="F421" s="12"/>
      <c r="G421" s="12"/>
      <c r="H421" s="12"/>
      <c r="I421" s="12"/>
      <c r="J421" s="14"/>
      <c r="K421" s="12"/>
      <c r="L421" s="14"/>
      <c r="M421" s="12"/>
      <c r="N421" s="12"/>
      <c r="O421" s="14"/>
      <c r="P421" s="12"/>
      <c r="Q421" s="15"/>
      <c r="R421" s="15"/>
      <c r="S421" s="21"/>
      <c r="T421" s="12"/>
      <c r="U421" s="46"/>
      <c r="V421" s="23"/>
      <c r="W421" s="22" t="str">
        <f t="array" ref="W421">IF(A421="","",IFERROR(INDEX(PARAMETROS!$J$2:$J700,MATCH(H421,PARAMETROS!$E$2:$E700,0)),""))</f>
        <v/>
      </c>
      <c r="X421" s="23" t="str">
        <f t="shared" si="1"/>
        <v/>
      </c>
    </row>
    <row r="422" spans="1:24">
      <c r="A422" s="12"/>
      <c r="B422" s="12"/>
      <c r="C422" s="12"/>
      <c r="D422" s="12"/>
      <c r="E422" s="12"/>
      <c r="F422" s="12"/>
      <c r="G422" s="12"/>
      <c r="H422" s="12"/>
      <c r="I422" s="12"/>
      <c r="J422" s="14"/>
      <c r="K422" s="12"/>
      <c r="L422" s="14"/>
      <c r="M422" s="12"/>
      <c r="N422" s="12"/>
      <c r="O422" s="14"/>
      <c r="P422" s="12"/>
      <c r="Q422" s="15"/>
      <c r="R422" s="15"/>
      <c r="S422" s="21"/>
      <c r="T422" s="12"/>
      <c r="U422" s="46"/>
      <c r="V422" s="23"/>
      <c r="W422" s="22" t="str">
        <f t="array" ref="W422">IF(A422="","",IFERROR(INDEX(PARAMETROS!$J$2:$J700,MATCH(H422,PARAMETROS!$E$2:$E700,0)),""))</f>
        <v/>
      </c>
      <c r="X422" s="23" t="str">
        <f t="shared" si="1"/>
        <v/>
      </c>
    </row>
    <row r="423" spans="1:24">
      <c r="A423" s="12"/>
      <c r="B423" s="12"/>
      <c r="C423" s="12"/>
      <c r="D423" s="12"/>
      <c r="E423" s="12"/>
      <c r="F423" s="12"/>
      <c r="G423" s="12"/>
      <c r="H423" s="12"/>
      <c r="I423" s="12"/>
      <c r="J423" s="14"/>
      <c r="K423" s="12"/>
      <c r="L423" s="14"/>
      <c r="M423" s="12"/>
      <c r="N423" s="12"/>
      <c r="O423" s="14"/>
      <c r="P423" s="12"/>
      <c r="Q423" s="15"/>
      <c r="R423" s="15"/>
      <c r="S423" s="21"/>
      <c r="T423" s="12"/>
      <c r="U423" s="46"/>
      <c r="V423" s="23"/>
      <c r="W423" s="22" t="str">
        <f t="array" ref="W423">IF(A423="","",IFERROR(INDEX(PARAMETROS!$J$2:$J700,MATCH(H423,PARAMETROS!$E$2:$E700,0)),""))</f>
        <v/>
      </c>
      <c r="X423" s="23" t="str">
        <f t="shared" si="1"/>
        <v/>
      </c>
    </row>
    <row r="424" spans="1:24">
      <c r="A424" s="12"/>
      <c r="B424" s="12"/>
      <c r="C424" s="12"/>
      <c r="D424" s="12"/>
      <c r="E424" s="12"/>
      <c r="F424" s="12"/>
      <c r="G424" s="12"/>
      <c r="H424" s="12"/>
      <c r="I424" s="12"/>
      <c r="J424" s="14"/>
      <c r="K424" s="12"/>
      <c r="L424" s="14"/>
      <c r="M424" s="12"/>
      <c r="N424" s="12"/>
      <c r="O424" s="14"/>
      <c r="P424" s="12"/>
      <c r="Q424" s="15"/>
      <c r="R424" s="15"/>
      <c r="S424" s="21"/>
      <c r="T424" s="12"/>
      <c r="U424" s="46"/>
      <c r="V424" s="23"/>
      <c r="W424" s="22" t="str">
        <f t="array" ref="W424">IF(A424="","",IFERROR(INDEX(PARAMETROS!$J$2:$J700,MATCH(H424,PARAMETROS!$E$2:$E700,0)),""))</f>
        <v/>
      </c>
      <c r="X424" s="23" t="str">
        <f t="shared" si="1"/>
        <v/>
      </c>
    </row>
    <row r="425" spans="1:24">
      <c r="A425" s="12"/>
      <c r="B425" s="12"/>
      <c r="C425" s="12"/>
      <c r="D425" s="12"/>
      <c r="E425" s="12"/>
      <c r="F425" s="12"/>
      <c r="G425" s="12"/>
      <c r="H425" s="12"/>
      <c r="I425" s="12"/>
      <c r="J425" s="14"/>
      <c r="K425" s="12"/>
      <c r="L425" s="14"/>
      <c r="M425" s="12"/>
      <c r="N425" s="12"/>
      <c r="O425" s="14"/>
      <c r="P425" s="12"/>
      <c r="Q425" s="15"/>
      <c r="R425" s="15"/>
      <c r="S425" s="21"/>
      <c r="T425" s="12"/>
      <c r="U425" s="46"/>
      <c r="V425" s="23"/>
      <c r="W425" s="22" t="str">
        <f t="array" ref="W425">IF(A425="","",IFERROR(INDEX(PARAMETROS!$J$2:$J700,MATCH(H425,PARAMETROS!$E$2:$E700,0)),""))</f>
        <v/>
      </c>
      <c r="X425" s="23" t="str">
        <f t="shared" si="1"/>
        <v/>
      </c>
    </row>
    <row r="426" spans="1:24">
      <c r="A426" s="12"/>
      <c r="B426" s="12"/>
      <c r="C426" s="12"/>
      <c r="D426" s="12"/>
      <c r="E426" s="12"/>
      <c r="F426" s="12"/>
      <c r="G426" s="12"/>
      <c r="H426" s="12"/>
      <c r="I426" s="12"/>
      <c r="J426" s="14"/>
      <c r="K426" s="12"/>
      <c r="L426" s="14"/>
      <c r="M426" s="12"/>
      <c r="N426" s="12"/>
      <c r="O426" s="14"/>
      <c r="P426" s="12"/>
      <c r="Q426" s="15"/>
      <c r="R426" s="15"/>
      <c r="S426" s="21"/>
      <c r="T426" s="12"/>
      <c r="U426" s="46"/>
      <c r="V426" s="23"/>
      <c r="W426" s="22" t="str">
        <f t="array" ref="W426">IF(A426="","",IFERROR(INDEX(PARAMETROS!$J$2:$J700,MATCH(H426,PARAMETROS!$E$2:$E700,0)),""))</f>
        <v/>
      </c>
      <c r="X426" s="23" t="str">
        <f t="shared" si="1"/>
        <v/>
      </c>
    </row>
    <row r="427" spans="1:24">
      <c r="A427" s="12"/>
      <c r="B427" s="12"/>
      <c r="C427" s="12"/>
      <c r="D427" s="12"/>
      <c r="E427" s="12"/>
      <c r="F427" s="12"/>
      <c r="G427" s="12"/>
      <c r="H427" s="12"/>
      <c r="I427" s="12"/>
      <c r="J427" s="14"/>
      <c r="K427" s="12"/>
      <c r="L427" s="14"/>
      <c r="M427" s="12"/>
      <c r="N427" s="12"/>
      <c r="O427" s="14"/>
      <c r="P427" s="12"/>
      <c r="Q427" s="15"/>
      <c r="R427" s="15"/>
      <c r="S427" s="21"/>
      <c r="T427" s="12"/>
      <c r="U427" s="46"/>
      <c r="V427" s="23"/>
      <c r="W427" s="22" t="str">
        <f t="array" ref="W427">IF(A427="","",IFERROR(INDEX(PARAMETROS!$J$2:$J700,MATCH(H427,PARAMETROS!$E$2:$E700,0)),""))</f>
        <v/>
      </c>
      <c r="X427" s="23" t="str">
        <f t="shared" si="1"/>
        <v/>
      </c>
    </row>
    <row r="428" spans="1:24">
      <c r="A428" s="12"/>
      <c r="B428" s="12"/>
      <c r="C428" s="12"/>
      <c r="D428" s="12"/>
      <c r="E428" s="12"/>
      <c r="F428" s="12"/>
      <c r="G428" s="12"/>
      <c r="H428" s="12"/>
      <c r="I428" s="12"/>
      <c r="J428" s="14"/>
      <c r="K428" s="12"/>
      <c r="L428" s="14"/>
      <c r="M428" s="12"/>
      <c r="N428" s="12"/>
      <c r="O428" s="14"/>
      <c r="P428" s="12"/>
      <c r="Q428" s="15"/>
      <c r="R428" s="15"/>
      <c r="S428" s="21"/>
      <c r="T428" s="12"/>
      <c r="U428" s="46"/>
      <c r="V428" s="23"/>
      <c r="W428" s="22" t="str">
        <f t="array" ref="W428">IF(A428="","",IFERROR(INDEX(PARAMETROS!$J$2:$J700,MATCH(H428,PARAMETROS!$E$2:$E700,0)),""))</f>
        <v/>
      </c>
      <c r="X428" s="23" t="str">
        <f t="shared" si="1"/>
        <v/>
      </c>
    </row>
    <row r="429" spans="1:24">
      <c r="A429" s="12"/>
      <c r="B429" s="12"/>
      <c r="C429" s="12"/>
      <c r="D429" s="12"/>
      <c r="E429" s="12"/>
      <c r="F429" s="12"/>
      <c r="G429" s="12"/>
      <c r="H429" s="12"/>
      <c r="I429" s="12"/>
      <c r="J429" s="14"/>
      <c r="K429" s="12"/>
      <c r="L429" s="14"/>
      <c r="M429" s="12"/>
      <c r="N429" s="12"/>
      <c r="O429" s="14"/>
      <c r="P429" s="12"/>
      <c r="Q429" s="15"/>
      <c r="R429" s="15"/>
      <c r="S429" s="21"/>
      <c r="T429" s="12"/>
      <c r="U429" s="46"/>
      <c r="V429" s="23"/>
      <c r="W429" s="22" t="str">
        <f t="array" ref="W429">IF(A429="","",IFERROR(INDEX(PARAMETROS!$J$2:$J700,MATCH(H429,PARAMETROS!$E$2:$E700,0)),""))</f>
        <v/>
      </c>
      <c r="X429" s="23" t="str">
        <f t="shared" si="1"/>
        <v/>
      </c>
    </row>
    <row r="430" spans="1:24">
      <c r="A430" s="12"/>
      <c r="B430" s="12"/>
      <c r="C430" s="12"/>
      <c r="D430" s="12"/>
      <c r="E430" s="12"/>
      <c r="F430" s="12"/>
      <c r="G430" s="12"/>
      <c r="H430" s="12"/>
      <c r="I430" s="12"/>
      <c r="J430" s="14"/>
      <c r="K430" s="12"/>
      <c r="L430" s="14"/>
      <c r="M430" s="12"/>
      <c r="N430" s="12"/>
      <c r="O430" s="14"/>
      <c r="P430" s="12"/>
      <c r="Q430" s="15"/>
      <c r="R430" s="15"/>
      <c r="S430" s="21"/>
      <c r="T430" s="12"/>
      <c r="U430" s="46"/>
      <c r="V430" s="23"/>
      <c r="W430" s="22" t="str">
        <f t="array" ref="W430">IF(A430="","",IFERROR(INDEX(PARAMETROS!$J$2:$J700,MATCH(H430,PARAMETROS!$E$2:$E700,0)),""))</f>
        <v/>
      </c>
      <c r="X430" s="23" t="str">
        <f t="shared" si="1"/>
        <v/>
      </c>
    </row>
    <row r="431" spans="1:24">
      <c r="A431" s="12"/>
      <c r="B431" s="12"/>
      <c r="C431" s="12"/>
      <c r="D431" s="12"/>
      <c r="E431" s="12"/>
      <c r="F431" s="12"/>
      <c r="G431" s="12"/>
      <c r="H431" s="12"/>
      <c r="I431" s="12"/>
      <c r="J431" s="14"/>
      <c r="K431" s="12"/>
      <c r="L431" s="14"/>
      <c r="M431" s="12"/>
      <c r="N431" s="12"/>
      <c r="O431" s="14"/>
      <c r="P431" s="12"/>
      <c r="Q431" s="15"/>
      <c r="R431" s="15"/>
      <c r="S431" s="21"/>
      <c r="T431" s="12"/>
      <c r="U431" s="46"/>
      <c r="V431" s="23"/>
      <c r="W431" s="22" t="str">
        <f t="array" ref="W431">IF(A431="","",IFERROR(INDEX(PARAMETROS!$J$2:$J700,MATCH(H431,PARAMETROS!$E$2:$E700,0)),""))</f>
        <v/>
      </c>
      <c r="X431" s="23" t="str">
        <f t="shared" si="1"/>
        <v/>
      </c>
    </row>
    <row r="432" spans="1:24">
      <c r="A432" s="12"/>
      <c r="B432" s="12"/>
      <c r="C432" s="12"/>
      <c r="D432" s="12"/>
      <c r="E432" s="12"/>
      <c r="F432" s="12"/>
      <c r="G432" s="12"/>
      <c r="H432" s="12"/>
      <c r="I432" s="12"/>
      <c r="J432" s="14"/>
      <c r="K432" s="12"/>
      <c r="L432" s="14"/>
      <c r="M432" s="12"/>
      <c r="N432" s="12"/>
      <c r="O432" s="14"/>
      <c r="P432" s="12"/>
      <c r="Q432" s="15"/>
      <c r="R432" s="15"/>
      <c r="S432" s="21"/>
      <c r="T432" s="12"/>
      <c r="U432" s="46"/>
      <c r="V432" s="23"/>
      <c r="W432" s="22" t="str">
        <f t="array" ref="W432">IF(A432="","",IFERROR(INDEX(PARAMETROS!$J$2:$J700,MATCH(H432,PARAMETROS!$E$2:$E700,0)),""))</f>
        <v/>
      </c>
      <c r="X432" s="23" t="str">
        <f t="shared" si="1"/>
        <v/>
      </c>
    </row>
    <row r="433" spans="1:24">
      <c r="A433" s="12"/>
      <c r="B433" s="12"/>
      <c r="C433" s="12"/>
      <c r="D433" s="12"/>
      <c r="E433" s="12"/>
      <c r="F433" s="12"/>
      <c r="G433" s="12"/>
      <c r="H433" s="12"/>
      <c r="I433" s="12"/>
      <c r="J433" s="14"/>
      <c r="K433" s="12"/>
      <c r="L433" s="14"/>
      <c r="M433" s="12"/>
      <c r="N433" s="12"/>
      <c r="O433" s="14"/>
      <c r="P433" s="12"/>
      <c r="Q433" s="15"/>
      <c r="R433" s="15"/>
      <c r="S433" s="21"/>
      <c r="T433" s="12"/>
      <c r="U433" s="46"/>
      <c r="V433" s="23"/>
      <c r="W433" s="22" t="str">
        <f t="array" ref="W433">IF(A433="","",IFERROR(INDEX(PARAMETROS!$J$2:$J700,MATCH(H433,PARAMETROS!$E$2:$E700,0)),""))</f>
        <v/>
      </c>
      <c r="X433" s="23" t="str">
        <f t="shared" si="1"/>
        <v/>
      </c>
    </row>
    <row r="434" spans="1:24">
      <c r="A434" s="12"/>
      <c r="B434" s="12"/>
      <c r="C434" s="12"/>
      <c r="D434" s="12"/>
      <c r="E434" s="12"/>
      <c r="F434" s="12"/>
      <c r="G434" s="12"/>
      <c r="H434" s="12"/>
      <c r="I434" s="12"/>
      <c r="J434" s="14"/>
      <c r="K434" s="12"/>
      <c r="L434" s="14"/>
      <c r="M434" s="12"/>
      <c r="N434" s="12"/>
      <c r="O434" s="14"/>
      <c r="P434" s="12"/>
      <c r="Q434" s="15"/>
      <c r="R434" s="15"/>
      <c r="S434" s="21"/>
      <c r="T434" s="12"/>
      <c r="U434" s="46"/>
      <c r="V434" s="23"/>
      <c r="W434" s="22" t="str">
        <f t="array" ref="W434">IF(A434="","",IFERROR(INDEX(PARAMETROS!$J$2:$J700,MATCH(H434,PARAMETROS!$E$2:$E700,0)),""))</f>
        <v/>
      </c>
      <c r="X434" s="23" t="str">
        <f t="shared" si="1"/>
        <v/>
      </c>
    </row>
    <row r="435" spans="1:24">
      <c r="A435" s="12"/>
      <c r="B435" s="12"/>
      <c r="C435" s="12"/>
      <c r="D435" s="12"/>
      <c r="E435" s="12"/>
      <c r="F435" s="12"/>
      <c r="G435" s="12"/>
      <c r="H435" s="12"/>
      <c r="I435" s="12"/>
      <c r="J435" s="14"/>
      <c r="K435" s="12"/>
      <c r="L435" s="14"/>
      <c r="M435" s="12"/>
      <c r="N435" s="12"/>
      <c r="O435" s="14"/>
      <c r="P435" s="12"/>
      <c r="Q435" s="15"/>
      <c r="R435" s="15"/>
      <c r="S435" s="21"/>
      <c r="T435" s="12"/>
      <c r="U435" s="46"/>
      <c r="V435" s="23"/>
      <c r="W435" s="22" t="str">
        <f t="array" ref="W435">IF(A435="","",IFERROR(INDEX(PARAMETROS!$J$2:$J700,MATCH(H435,PARAMETROS!$E$2:$E700,0)),""))</f>
        <v/>
      </c>
      <c r="X435" s="23" t="str">
        <f t="shared" si="1"/>
        <v/>
      </c>
    </row>
    <row r="436" spans="1:24">
      <c r="A436" s="12"/>
      <c r="B436" s="12"/>
      <c r="C436" s="12"/>
      <c r="D436" s="12"/>
      <c r="E436" s="12"/>
      <c r="F436" s="12"/>
      <c r="G436" s="12"/>
      <c r="H436" s="12"/>
      <c r="I436" s="12"/>
      <c r="J436" s="14"/>
      <c r="K436" s="12"/>
      <c r="L436" s="14"/>
      <c r="M436" s="12"/>
      <c r="N436" s="12"/>
      <c r="O436" s="14"/>
      <c r="P436" s="12"/>
      <c r="Q436" s="15"/>
      <c r="R436" s="15"/>
      <c r="S436" s="21"/>
      <c r="T436" s="12"/>
      <c r="U436" s="46"/>
      <c r="V436" s="23"/>
      <c r="W436" s="22" t="str">
        <f t="array" ref="W436">IF(A436="","",IFERROR(INDEX(PARAMETROS!$J$2:$J700,MATCH(H436,PARAMETROS!$E$2:$E700,0)),""))</f>
        <v/>
      </c>
      <c r="X436" s="23" t="str">
        <f t="shared" si="1"/>
        <v/>
      </c>
    </row>
    <row r="437" spans="1:24">
      <c r="A437" s="12"/>
      <c r="B437" s="12"/>
      <c r="C437" s="12"/>
      <c r="D437" s="12"/>
      <c r="E437" s="12"/>
      <c r="F437" s="12"/>
      <c r="G437" s="12"/>
      <c r="H437" s="12"/>
      <c r="I437" s="12"/>
      <c r="J437" s="14"/>
      <c r="K437" s="12"/>
      <c r="L437" s="14"/>
      <c r="M437" s="12"/>
      <c r="N437" s="12"/>
      <c r="O437" s="14"/>
      <c r="P437" s="12"/>
      <c r="Q437" s="15"/>
      <c r="R437" s="15"/>
      <c r="S437" s="21"/>
      <c r="T437" s="12"/>
      <c r="U437" s="46"/>
      <c r="V437" s="23"/>
      <c r="W437" s="22" t="str">
        <f t="array" ref="W437">IF(A437="","",IFERROR(INDEX(PARAMETROS!$J$2:$J700,MATCH(H437,PARAMETROS!$E$2:$E700,0)),""))</f>
        <v/>
      </c>
      <c r="X437" s="23" t="str">
        <f t="shared" si="1"/>
        <v/>
      </c>
    </row>
    <row r="438" spans="1:24">
      <c r="A438" s="12"/>
      <c r="B438" s="12"/>
      <c r="C438" s="12"/>
      <c r="D438" s="12"/>
      <c r="E438" s="12"/>
      <c r="F438" s="12"/>
      <c r="G438" s="12"/>
      <c r="H438" s="12"/>
      <c r="I438" s="12"/>
      <c r="J438" s="14"/>
      <c r="K438" s="12"/>
      <c r="L438" s="14"/>
      <c r="M438" s="12"/>
      <c r="N438" s="12"/>
      <c r="O438" s="14"/>
      <c r="P438" s="12"/>
      <c r="Q438" s="15"/>
      <c r="R438" s="15"/>
      <c r="S438" s="21"/>
      <c r="T438" s="12"/>
      <c r="U438" s="46"/>
      <c r="V438" s="23"/>
      <c r="W438" s="22" t="str">
        <f t="array" ref="W438">IF(A438="","",IFERROR(INDEX(PARAMETROS!$J$2:$J700,MATCH(H438,PARAMETROS!$E$2:$E700,0)),""))</f>
        <v/>
      </c>
      <c r="X438" s="23" t="str">
        <f t="shared" si="1"/>
        <v/>
      </c>
    </row>
    <row r="439" spans="1:24">
      <c r="A439" s="12"/>
      <c r="B439" s="12"/>
      <c r="C439" s="12"/>
      <c r="D439" s="12"/>
      <c r="E439" s="12"/>
      <c r="F439" s="12"/>
      <c r="G439" s="12"/>
      <c r="H439" s="12"/>
      <c r="I439" s="12"/>
      <c r="J439" s="14"/>
      <c r="K439" s="12"/>
      <c r="L439" s="14"/>
      <c r="M439" s="12"/>
      <c r="N439" s="12"/>
      <c r="O439" s="14"/>
      <c r="P439" s="12"/>
      <c r="Q439" s="15"/>
      <c r="R439" s="15"/>
      <c r="S439" s="21"/>
      <c r="T439" s="12"/>
      <c r="U439" s="46"/>
      <c r="V439" s="23"/>
      <c r="W439" s="22" t="str">
        <f t="array" ref="W439">IF(A439="","",IFERROR(INDEX(PARAMETROS!$J$2:$J700,MATCH(H439,PARAMETROS!$E$2:$E700,0)),""))</f>
        <v/>
      </c>
      <c r="X439" s="23" t="str">
        <f t="shared" si="1"/>
        <v/>
      </c>
    </row>
    <row r="440" spans="1:24">
      <c r="A440" s="12"/>
      <c r="B440" s="12"/>
      <c r="C440" s="12"/>
      <c r="D440" s="12"/>
      <c r="E440" s="12"/>
      <c r="F440" s="12"/>
      <c r="G440" s="12"/>
      <c r="H440" s="12"/>
      <c r="I440" s="12"/>
      <c r="J440" s="14"/>
      <c r="K440" s="12"/>
      <c r="L440" s="14"/>
      <c r="M440" s="12"/>
      <c r="N440" s="12"/>
      <c r="O440" s="14"/>
      <c r="P440" s="12"/>
      <c r="Q440" s="15"/>
      <c r="R440" s="15"/>
      <c r="S440" s="21"/>
      <c r="T440" s="12"/>
      <c r="U440" s="46"/>
      <c r="V440" s="23"/>
      <c r="W440" s="22" t="str">
        <f t="array" ref="W440">IF(A440="","",IFERROR(INDEX(PARAMETROS!$J$2:$J700,MATCH(H440,PARAMETROS!$E$2:$E700,0)),""))</f>
        <v/>
      </c>
      <c r="X440" s="23" t="str">
        <f t="shared" si="1"/>
        <v/>
      </c>
    </row>
    <row r="441" spans="1:24">
      <c r="A441" s="12"/>
      <c r="B441" s="12"/>
      <c r="C441" s="12"/>
      <c r="D441" s="12"/>
      <c r="E441" s="12"/>
      <c r="F441" s="12"/>
      <c r="G441" s="12"/>
      <c r="H441" s="12"/>
      <c r="I441" s="12"/>
      <c r="J441" s="14"/>
      <c r="K441" s="12"/>
      <c r="L441" s="14"/>
      <c r="M441" s="12"/>
      <c r="N441" s="12"/>
      <c r="O441" s="14"/>
      <c r="P441" s="12"/>
      <c r="Q441" s="15"/>
      <c r="R441" s="15"/>
      <c r="S441" s="21"/>
      <c r="T441" s="12"/>
      <c r="U441" s="46"/>
      <c r="V441" s="23"/>
      <c r="W441" s="22" t="str">
        <f t="array" ref="W441">IF(A441="","",IFERROR(INDEX(PARAMETROS!$J$2:$J700,MATCH(H441,PARAMETROS!$E$2:$E700,0)),""))</f>
        <v/>
      </c>
      <c r="X441" s="23" t="str">
        <f t="shared" si="1"/>
        <v/>
      </c>
    </row>
    <row r="442" spans="1:24">
      <c r="A442" s="12"/>
      <c r="B442" s="12"/>
      <c r="C442" s="12"/>
      <c r="D442" s="12"/>
      <c r="E442" s="12"/>
      <c r="F442" s="12"/>
      <c r="G442" s="12"/>
      <c r="H442" s="12"/>
      <c r="I442" s="12"/>
      <c r="J442" s="14"/>
      <c r="K442" s="12"/>
      <c r="L442" s="14"/>
      <c r="M442" s="12"/>
      <c r="N442" s="12"/>
      <c r="O442" s="14"/>
      <c r="P442" s="12"/>
      <c r="Q442" s="15"/>
      <c r="R442" s="15"/>
      <c r="S442" s="21"/>
      <c r="T442" s="12"/>
      <c r="U442" s="46"/>
      <c r="V442" s="23"/>
      <c r="W442" s="22" t="str">
        <f t="array" ref="W442">IF(A442="","",IFERROR(INDEX(PARAMETROS!$J$2:$J700,MATCH(H442,PARAMETROS!$E$2:$E700,0)),""))</f>
        <v/>
      </c>
      <c r="X442" s="23" t="str">
        <f t="shared" si="1"/>
        <v/>
      </c>
    </row>
    <row r="443" spans="1:24">
      <c r="A443" s="12"/>
      <c r="B443" s="12"/>
      <c r="C443" s="12"/>
      <c r="D443" s="12"/>
      <c r="E443" s="12"/>
      <c r="F443" s="12"/>
      <c r="G443" s="12"/>
      <c r="H443" s="12"/>
      <c r="I443" s="12"/>
      <c r="J443" s="14"/>
      <c r="K443" s="12"/>
      <c r="L443" s="14"/>
      <c r="M443" s="12"/>
      <c r="N443" s="12"/>
      <c r="O443" s="14"/>
      <c r="P443" s="12"/>
      <c r="Q443" s="15"/>
      <c r="R443" s="15"/>
      <c r="S443" s="21"/>
      <c r="T443" s="12"/>
      <c r="U443" s="46"/>
      <c r="V443" s="23"/>
      <c r="W443" s="22" t="str">
        <f t="array" ref="W443">IF(A443="","",IFERROR(INDEX(PARAMETROS!$J$2:$J700,MATCH(H443,PARAMETROS!$E$2:$E700,0)),""))</f>
        <v/>
      </c>
      <c r="X443" s="23" t="str">
        <f t="shared" si="1"/>
        <v/>
      </c>
    </row>
    <row r="444" spans="1:24">
      <c r="A444" s="12"/>
      <c r="B444" s="12"/>
      <c r="C444" s="12"/>
      <c r="D444" s="12"/>
      <c r="E444" s="12"/>
      <c r="F444" s="12"/>
      <c r="G444" s="12"/>
      <c r="H444" s="12"/>
      <c r="I444" s="12"/>
      <c r="J444" s="14"/>
      <c r="K444" s="12"/>
      <c r="L444" s="14"/>
      <c r="M444" s="12"/>
      <c r="N444" s="12"/>
      <c r="O444" s="14"/>
      <c r="P444" s="12"/>
      <c r="Q444" s="15"/>
      <c r="R444" s="15"/>
      <c r="S444" s="21"/>
      <c r="T444" s="12"/>
      <c r="U444" s="46"/>
      <c r="V444" s="23"/>
      <c r="W444" s="22" t="str">
        <f t="array" ref="W444">IF(A444="","",IFERROR(INDEX(PARAMETROS!$J$2:$J700,MATCH(H444,PARAMETROS!$E$2:$E700,0)),""))</f>
        <v/>
      </c>
      <c r="X444" s="23" t="str">
        <f t="shared" si="1"/>
        <v/>
      </c>
    </row>
    <row r="445" spans="1:24">
      <c r="A445" s="12"/>
      <c r="B445" s="12"/>
      <c r="C445" s="12"/>
      <c r="D445" s="12"/>
      <c r="E445" s="12"/>
      <c r="F445" s="12"/>
      <c r="G445" s="12"/>
      <c r="H445" s="12"/>
      <c r="I445" s="12"/>
      <c r="J445" s="14"/>
      <c r="K445" s="12"/>
      <c r="L445" s="14"/>
      <c r="M445" s="12"/>
      <c r="N445" s="12"/>
      <c r="O445" s="14"/>
      <c r="P445" s="12"/>
      <c r="Q445" s="15"/>
      <c r="R445" s="15"/>
      <c r="S445" s="21"/>
      <c r="T445" s="12"/>
      <c r="U445" s="46"/>
      <c r="V445" s="23"/>
      <c r="W445" s="22" t="str">
        <f t="array" ref="W445">IF(A445="","",IFERROR(INDEX(PARAMETROS!$J$2:$J700,MATCH(H445,PARAMETROS!$E$2:$E700,0)),""))</f>
        <v/>
      </c>
      <c r="X445" s="23" t="str">
        <f t="shared" si="1"/>
        <v/>
      </c>
    </row>
    <row r="446" spans="1:24">
      <c r="A446" s="12"/>
      <c r="B446" s="12"/>
      <c r="C446" s="12"/>
      <c r="D446" s="12"/>
      <c r="E446" s="12"/>
      <c r="F446" s="12"/>
      <c r="G446" s="12"/>
      <c r="H446" s="12"/>
      <c r="I446" s="12"/>
      <c r="J446" s="14"/>
      <c r="K446" s="12"/>
      <c r="L446" s="14"/>
      <c r="M446" s="12"/>
      <c r="N446" s="12"/>
      <c r="O446" s="14"/>
      <c r="P446" s="12"/>
      <c r="Q446" s="15"/>
      <c r="R446" s="15"/>
      <c r="S446" s="21"/>
      <c r="T446" s="12"/>
      <c r="U446" s="46"/>
      <c r="V446" s="23"/>
      <c r="W446" s="22" t="str">
        <f t="array" ref="W446">IF(A446="","",IFERROR(INDEX(PARAMETROS!$J$2:$J700,MATCH(H446,PARAMETROS!$E$2:$E700,0)),""))</f>
        <v/>
      </c>
      <c r="X446" s="23" t="str">
        <f t="shared" si="1"/>
        <v/>
      </c>
    </row>
    <row r="447" spans="1:24">
      <c r="A447" s="12"/>
      <c r="B447" s="12"/>
      <c r="C447" s="12"/>
      <c r="D447" s="12"/>
      <c r="E447" s="12"/>
      <c r="F447" s="12"/>
      <c r="G447" s="12"/>
      <c r="H447" s="12"/>
      <c r="I447" s="12"/>
      <c r="J447" s="14"/>
      <c r="K447" s="12"/>
      <c r="L447" s="14"/>
      <c r="M447" s="12"/>
      <c r="N447" s="12"/>
      <c r="O447" s="14"/>
      <c r="P447" s="12"/>
      <c r="Q447" s="15"/>
      <c r="R447" s="15"/>
      <c r="S447" s="21"/>
      <c r="T447" s="12"/>
      <c r="U447" s="46"/>
      <c r="V447" s="23"/>
      <c r="W447" s="22" t="str">
        <f t="array" ref="W447">IF(A447="","",IFERROR(INDEX(PARAMETROS!$J$2:$J700,MATCH(H447,PARAMETROS!$E$2:$E700,0)),""))</f>
        <v/>
      </c>
      <c r="X447" s="23" t="str">
        <f t="shared" si="1"/>
        <v/>
      </c>
    </row>
    <row r="448" spans="1:24">
      <c r="A448" s="12"/>
      <c r="B448" s="12"/>
      <c r="C448" s="12"/>
      <c r="D448" s="12"/>
      <c r="E448" s="12"/>
      <c r="F448" s="12"/>
      <c r="G448" s="12"/>
      <c r="H448" s="12"/>
      <c r="I448" s="12"/>
      <c r="J448" s="14"/>
      <c r="K448" s="12"/>
      <c r="L448" s="14"/>
      <c r="M448" s="12"/>
      <c r="N448" s="12"/>
      <c r="O448" s="14"/>
      <c r="P448" s="12"/>
      <c r="Q448" s="15"/>
      <c r="R448" s="15"/>
      <c r="S448" s="21"/>
      <c r="T448" s="12"/>
      <c r="U448" s="46"/>
      <c r="V448" s="23"/>
      <c r="W448" s="22" t="str">
        <f t="array" ref="W448">IF(A448="","",IFERROR(INDEX(PARAMETROS!$J$2:$J700,MATCH(H448,PARAMETROS!$E$2:$E700,0)),""))</f>
        <v/>
      </c>
      <c r="X448" s="23" t="str">
        <f t="shared" si="1"/>
        <v/>
      </c>
    </row>
    <row r="449" spans="1:24">
      <c r="A449" s="12"/>
      <c r="B449" s="12"/>
      <c r="C449" s="12"/>
      <c r="D449" s="12"/>
      <c r="E449" s="12"/>
      <c r="F449" s="12"/>
      <c r="G449" s="12"/>
      <c r="H449" s="12"/>
      <c r="I449" s="12"/>
      <c r="J449" s="14"/>
      <c r="K449" s="12"/>
      <c r="L449" s="14"/>
      <c r="M449" s="12"/>
      <c r="N449" s="12"/>
      <c r="O449" s="14"/>
      <c r="P449" s="12"/>
      <c r="Q449" s="15"/>
      <c r="R449" s="15"/>
      <c r="S449" s="21"/>
      <c r="T449" s="12"/>
      <c r="U449" s="46"/>
      <c r="V449" s="23"/>
      <c r="W449" s="22" t="str">
        <f t="array" ref="W449">IF(A449="","",IFERROR(INDEX(PARAMETROS!$J$2:$J700,MATCH(H449,PARAMETROS!$E$2:$E700,0)),""))</f>
        <v/>
      </c>
      <c r="X449" s="23" t="str">
        <f t="shared" si="1"/>
        <v/>
      </c>
    </row>
    <row r="450" spans="1:24">
      <c r="A450" s="12"/>
      <c r="B450" s="12"/>
      <c r="C450" s="12"/>
      <c r="D450" s="12"/>
      <c r="E450" s="12"/>
      <c r="F450" s="12"/>
      <c r="G450" s="12"/>
      <c r="H450" s="12"/>
      <c r="I450" s="12"/>
      <c r="J450" s="14"/>
      <c r="K450" s="12"/>
      <c r="L450" s="14"/>
      <c r="M450" s="12"/>
      <c r="N450" s="12"/>
      <c r="O450" s="14"/>
      <c r="P450" s="12"/>
      <c r="Q450" s="15"/>
      <c r="R450" s="15"/>
      <c r="S450" s="21"/>
      <c r="T450" s="12"/>
      <c r="U450" s="46"/>
      <c r="V450" s="23"/>
      <c r="W450" s="22" t="str">
        <f t="array" ref="W450">IF(A450="","",IFERROR(INDEX(PARAMETROS!$J$2:$J700,MATCH(H450,PARAMETROS!$E$2:$E700,0)),""))</f>
        <v/>
      </c>
      <c r="X450" s="23" t="str">
        <f t="shared" si="1"/>
        <v/>
      </c>
    </row>
    <row r="451" spans="1:24">
      <c r="A451" s="12"/>
      <c r="B451" s="12"/>
      <c r="C451" s="12"/>
      <c r="D451" s="12"/>
      <c r="E451" s="12"/>
      <c r="F451" s="12"/>
      <c r="G451" s="12"/>
      <c r="H451" s="12"/>
      <c r="I451" s="12"/>
      <c r="J451" s="14"/>
      <c r="K451" s="12"/>
      <c r="L451" s="14"/>
      <c r="M451" s="12"/>
      <c r="N451" s="12"/>
      <c r="O451" s="14"/>
      <c r="P451" s="12"/>
      <c r="Q451" s="15"/>
      <c r="R451" s="15"/>
      <c r="S451" s="21"/>
      <c r="T451" s="12"/>
      <c r="U451" s="46"/>
      <c r="V451" s="23"/>
      <c r="W451" s="22" t="str">
        <f t="array" ref="W451">IF(A451="","",IFERROR(INDEX(PARAMETROS!$J$2:$J700,MATCH(H451,PARAMETROS!$E$2:$E700,0)),""))</f>
        <v/>
      </c>
      <c r="X451" s="23" t="str">
        <f t="shared" si="1"/>
        <v/>
      </c>
    </row>
    <row r="452" spans="1:24">
      <c r="A452" s="12"/>
      <c r="B452" s="12"/>
      <c r="C452" s="12"/>
      <c r="D452" s="12"/>
      <c r="E452" s="12"/>
      <c r="F452" s="12"/>
      <c r="G452" s="12"/>
      <c r="H452" s="12"/>
      <c r="I452" s="12"/>
      <c r="J452" s="14"/>
      <c r="K452" s="12"/>
      <c r="L452" s="14"/>
      <c r="M452" s="12"/>
      <c r="N452" s="12"/>
      <c r="O452" s="14"/>
      <c r="P452" s="12"/>
      <c r="Q452" s="15"/>
      <c r="R452" s="15"/>
      <c r="S452" s="21"/>
      <c r="T452" s="12"/>
      <c r="U452" s="46"/>
      <c r="V452" s="23"/>
      <c r="W452" s="22" t="str">
        <f t="array" ref="W452">IF(A452="","",IFERROR(INDEX(PARAMETROS!$J$2:$J700,MATCH(H452,PARAMETROS!$E$2:$E700,0)),""))</f>
        <v/>
      </c>
      <c r="X452" s="23" t="str">
        <f t="shared" si="1"/>
        <v/>
      </c>
    </row>
    <row r="453" spans="1:24">
      <c r="A453" s="12"/>
      <c r="B453" s="12"/>
      <c r="C453" s="12"/>
      <c r="D453" s="12"/>
      <c r="E453" s="12"/>
      <c r="F453" s="12"/>
      <c r="G453" s="12"/>
      <c r="H453" s="12"/>
      <c r="I453" s="12"/>
      <c r="J453" s="14"/>
      <c r="K453" s="12"/>
      <c r="L453" s="14"/>
      <c r="M453" s="12"/>
      <c r="N453" s="12"/>
      <c r="O453" s="14"/>
      <c r="P453" s="12"/>
      <c r="Q453" s="15"/>
      <c r="R453" s="15"/>
      <c r="S453" s="21"/>
      <c r="T453" s="12"/>
      <c r="U453" s="46"/>
      <c r="V453" s="23"/>
      <c r="W453" s="22" t="str">
        <f t="array" ref="W453">IF(A453="","",IFERROR(INDEX(PARAMETROS!$J$2:$J700,MATCH(H453,PARAMETROS!$E$2:$E700,0)),""))</f>
        <v/>
      </c>
      <c r="X453" s="23" t="str">
        <f t="shared" si="1"/>
        <v/>
      </c>
    </row>
    <row r="454" spans="1:24">
      <c r="A454" s="12"/>
      <c r="B454" s="12"/>
      <c r="C454" s="12"/>
      <c r="D454" s="12"/>
      <c r="E454" s="12"/>
      <c r="F454" s="12"/>
      <c r="G454" s="12"/>
      <c r="H454" s="12"/>
      <c r="I454" s="12"/>
      <c r="J454" s="14"/>
      <c r="K454" s="12"/>
      <c r="L454" s="14"/>
      <c r="M454" s="12"/>
      <c r="N454" s="12"/>
      <c r="O454" s="14"/>
      <c r="P454" s="12"/>
      <c r="Q454" s="15"/>
      <c r="R454" s="15"/>
      <c r="S454" s="21"/>
      <c r="T454" s="12"/>
      <c r="U454" s="46"/>
      <c r="V454" s="23"/>
      <c r="W454" s="22" t="str">
        <f t="array" ref="W454">IF(A454="","",IFERROR(INDEX(PARAMETROS!$J$2:$J700,MATCH(H454,PARAMETROS!$E$2:$E700,0)),""))</f>
        <v/>
      </c>
      <c r="X454" s="23" t="str">
        <f t="shared" si="1"/>
        <v/>
      </c>
    </row>
    <row r="455" spans="1:24">
      <c r="A455" s="12"/>
      <c r="B455" s="12"/>
      <c r="C455" s="12"/>
      <c r="D455" s="12"/>
      <c r="E455" s="12"/>
      <c r="F455" s="12"/>
      <c r="G455" s="12"/>
      <c r="H455" s="12"/>
      <c r="I455" s="12"/>
      <c r="J455" s="14"/>
      <c r="K455" s="12"/>
      <c r="L455" s="14"/>
      <c r="M455" s="12"/>
      <c r="N455" s="12"/>
      <c r="O455" s="14"/>
      <c r="P455" s="12"/>
      <c r="Q455" s="15"/>
      <c r="R455" s="15"/>
      <c r="S455" s="21"/>
      <c r="T455" s="12"/>
      <c r="U455" s="46"/>
      <c r="V455" s="23"/>
      <c r="W455" s="22" t="str">
        <f t="array" ref="W455">IF(A455="","",IFERROR(INDEX(PARAMETROS!$J$2:$J700,MATCH(H455,PARAMETROS!$E$2:$E700,0)),""))</f>
        <v/>
      </c>
      <c r="X455" s="23" t="str">
        <f t="shared" si="1"/>
        <v/>
      </c>
    </row>
    <row r="456" spans="1:24">
      <c r="A456" s="12"/>
      <c r="B456" s="12"/>
      <c r="C456" s="12"/>
      <c r="D456" s="12"/>
      <c r="E456" s="12"/>
      <c r="F456" s="12"/>
      <c r="G456" s="12"/>
      <c r="H456" s="12"/>
      <c r="I456" s="12"/>
      <c r="J456" s="14"/>
      <c r="K456" s="12"/>
      <c r="L456" s="14"/>
      <c r="M456" s="12"/>
      <c r="N456" s="12"/>
      <c r="O456" s="14"/>
      <c r="P456" s="12"/>
      <c r="Q456" s="15"/>
      <c r="R456" s="15"/>
      <c r="S456" s="21"/>
      <c r="T456" s="12"/>
      <c r="U456" s="46"/>
      <c r="V456" s="23"/>
      <c r="W456" s="22" t="str">
        <f t="array" ref="W456">IF(A456="","",IFERROR(INDEX(PARAMETROS!$J$2:$J700,MATCH(H456,PARAMETROS!$E$2:$E700,0)),""))</f>
        <v/>
      </c>
      <c r="X456" s="23" t="str">
        <f t="shared" si="1"/>
        <v/>
      </c>
    </row>
    <row r="457" spans="1:24">
      <c r="A457" s="12"/>
      <c r="B457" s="12"/>
      <c r="C457" s="12"/>
      <c r="D457" s="12"/>
      <c r="E457" s="12"/>
      <c r="F457" s="12"/>
      <c r="G457" s="12"/>
      <c r="H457" s="12"/>
      <c r="I457" s="12"/>
      <c r="J457" s="14"/>
      <c r="K457" s="12"/>
      <c r="L457" s="14"/>
      <c r="M457" s="12"/>
      <c r="N457" s="12"/>
      <c r="O457" s="14"/>
      <c r="P457" s="12"/>
      <c r="Q457" s="15"/>
      <c r="R457" s="15"/>
      <c r="S457" s="21"/>
      <c r="T457" s="12"/>
      <c r="U457" s="46"/>
      <c r="V457" s="23"/>
      <c r="W457" s="22" t="str">
        <f t="array" ref="W457">IF(A457="","",IFERROR(INDEX(PARAMETROS!$J$2:$J700,MATCH(H457,PARAMETROS!$E$2:$E700,0)),""))</f>
        <v/>
      </c>
      <c r="X457" s="23" t="str">
        <f t="shared" si="1"/>
        <v/>
      </c>
    </row>
    <row r="458" spans="1:24">
      <c r="A458" s="12"/>
      <c r="B458" s="12"/>
      <c r="C458" s="12"/>
      <c r="D458" s="12"/>
      <c r="E458" s="12"/>
      <c r="F458" s="12"/>
      <c r="G458" s="12"/>
      <c r="H458" s="12"/>
      <c r="I458" s="12"/>
      <c r="J458" s="14"/>
      <c r="K458" s="12"/>
      <c r="L458" s="14"/>
      <c r="M458" s="12"/>
      <c r="N458" s="12"/>
      <c r="O458" s="14"/>
      <c r="P458" s="12"/>
      <c r="Q458" s="15"/>
      <c r="R458" s="15"/>
      <c r="S458" s="21"/>
      <c r="T458" s="12"/>
      <c r="U458" s="46"/>
      <c r="V458" s="23"/>
      <c r="W458" s="22" t="str">
        <f t="array" ref="W458">IF(A458="","",IFERROR(INDEX(PARAMETROS!$J$2:$J700,MATCH(H458,PARAMETROS!$E$2:$E700,0)),""))</f>
        <v/>
      </c>
      <c r="X458" s="23" t="str">
        <f t="shared" si="1"/>
        <v/>
      </c>
    </row>
    <row r="459" spans="1:24">
      <c r="A459" s="12"/>
      <c r="B459" s="12"/>
      <c r="C459" s="12"/>
      <c r="D459" s="12"/>
      <c r="E459" s="12"/>
      <c r="F459" s="12"/>
      <c r="G459" s="12"/>
      <c r="H459" s="12"/>
      <c r="I459" s="12"/>
      <c r="J459" s="14"/>
      <c r="K459" s="12"/>
      <c r="L459" s="14"/>
      <c r="M459" s="12"/>
      <c r="N459" s="12"/>
      <c r="O459" s="14"/>
      <c r="P459" s="12"/>
      <c r="Q459" s="15"/>
      <c r="R459" s="15"/>
      <c r="S459" s="21"/>
      <c r="T459" s="12"/>
      <c r="U459" s="46"/>
      <c r="V459" s="23"/>
      <c r="W459" s="22" t="str">
        <f t="array" ref="W459">IF(A459="","",IFERROR(INDEX(PARAMETROS!$J$2:$J700,MATCH(H459,PARAMETROS!$E$2:$E700,0)),""))</f>
        <v/>
      </c>
      <c r="X459" s="23" t="str">
        <f t="shared" si="1"/>
        <v/>
      </c>
    </row>
    <row r="460" spans="1:24">
      <c r="A460" s="12"/>
      <c r="B460" s="12"/>
      <c r="C460" s="12"/>
      <c r="D460" s="12"/>
      <c r="E460" s="12"/>
      <c r="F460" s="12"/>
      <c r="G460" s="12"/>
      <c r="H460" s="12"/>
      <c r="I460" s="12"/>
      <c r="J460" s="14"/>
      <c r="K460" s="12"/>
      <c r="L460" s="14"/>
      <c r="M460" s="12"/>
      <c r="N460" s="12"/>
      <c r="O460" s="14"/>
      <c r="P460" s="12"/>
      <c r="Q460" s="15"/>
      <c r="R460" s="15"/>
      <c r="S460" s="21"/>
      <c r="T460" s="12"/>
      <c r="U460" s="46"/>
      <c r="V460" s="23"/>
      <c r="W460" s="22" t="str">
        <f t="array" ref="W460">IF(A460="","",IFERROR(INDEX(PARAMETROS!$J$2:$J700,MATCH(H460,PARAMETROS!$E$2:$E700,0)),""))</f>
        <v/>
      </c>
      <c r="X460" s="23" t="str">
        <f t="shared" si="1"/>
        <v/>
      </c>
    </row>
    <row r="461" spans="1:24">
      <c r="A461" s="12"/>
      <c r="B461" s="12"/>
      <c r="C461" s="12"/>
      <c r="D461" s="12"/>
      <c r="E461" s="12"/>
      <c r="F461" s="12"/>
      <c r="G461" s="12"/>
      <c r="H461" s="12"/>
      <c r="I461" s="12"/>
      <c r="J461" s="14"/>
      <c r="K461" s="12"/>
      <c r="L461" s="14"/>
      <c r="M461" s="12"/>
      <c r="N461" s="12"/>
      <c r="O461" s="14"/>
      <c r="P461" s="12"/>
      <c r="Q461" s="15"/>
      <c r="R461" s="15"/>
      <c r="S461" s="21"/>
      <c r="T461" s="12"/>
      <c r="U461" s="46"/>
      <c r="V461" s="23"/>
      <c r="W461" s="22" t="str">
        <f t="array" ref="W461">IF(A461="","",IFERROR(INDEX(PARAMETROS!$J$2:$J700,MATCH(H461,PARAMETROS!$E$2:$E700,0)),""))</f>
        <v/>
      </c>
      <c r="X461" s="23" t="str">
        <f t="shared" si="1"/>
        <v/>
      </c>
    </row>
    <row r="462" spans="1:24">
      <c r="A462" s="12"/>
      <c r="B462" s="12"/>
      <c r="C462" s="12"/>
      <c r="D462" s="12"/>
      <c r="E462" s="12"/>
      <c r="F462" s="12"/>
      <c r="G462" s="12"/>
      <c r="H462" s="12"/>
      <c r="I462" s="12"/>
      <c r="J462" s="14"/>
      <c r="K462" s="12"/>
      <c r="L462" s="14"/>
      <c r="M462" s="12"/>
      <c r="N462" s="12"/>
      <c r="O462" s="14"/>
      <c r="P462" s="12"/>
      <c r="Q462" s="15"/>
      <c r="R462" s="15"/>
      <c r="S462" s="21"/>
      <c r="T462" s="12"/>
      <c r="U462" s="46"/>
      <c r="V462" s="23"/>
      <c r="W462" s="22" t="str">
        <f t="array" ref="W462">IF(A462="","",IFERROR(INDEX(PARAMETROS!$J$2:$J700,MATCH(H462,PARAMETROS!$E$2:$E700,0)),""))</f>
        <v/>
      </c>
      <c r="X462" s="23" t="str">
        <f t="shared" si="1"/>
        <v/>
      </c>
    </row>
    <row r="463" spans="1:24">
      <c r="A463" s="12"/>
      <c r="B463" s="12"/>
      <c r="C463" s="12"/>
      <c r="D463" s="12"/>
      <c r="E463" s="12"/>
      <c r="F463" s="12"/>
      <c r="G463" s="12"/>
      <c r="H463" s="12"/>
      <c r="I463" s="12"/>
      <c r="J463" s="14"/>
      <c r="K463" s="12"/>
      <c r="L463" s="14"/>
      <c r="M463" s="12"/>
      <c r="N463" s="12"/>
      <c r="O463" s="14"/>
      <c r="P463" s="12"/>
      <c r="Q463" s="15"/>
      <c r="R463" s="15"/>
      <c r="S463" s="21"/>
      <c r="T463" s="12"/>
      <c r="U463" s="46"/>
      <c r="V463" s="23"/>
      <c r="W463" s="22" t="str">
        <f t="array" ref="W463">IF(A463="","",IFERROR(INDEX(PARAMETROS!$J$2:$J700,MATCH(H463,PARAMETROS!$E$2:$E700,0)),""))</f>
        <v/>
      </c>
      <c r="X463" s="23" t="str">
        <f t="shared" si="1"/>
        <v/>
      </c>
    </row>
    <row r="464" spans="1:24">
      <c r="A464" s="12"/>
      <c r="B464" s="12"/>
      <c r="C464" s="12"/>
      <c r="D464" s="12"/>
      <c r="E464" s="12"/>
      <c r="F464" s="12"/>
      <c r="G464" s="12"/>
      <c r="H464" s="12"/>
      <c r="I464" s="12"/>
      <c r="J464" s="14"/>
      <c r="K464" s="12"/>
      <c r="L464" s="14"/>
      <c r="M464" s="12"/>
      <c r="N464" s="12"/>
      <c r="O464" s="14"/>
      <c r="P464" s="12"/>
      <c r="Q464" s="15"/>
      <c r="R464" s="15"/>
      <c r="S464" s="21"/>
      <c r="T464" s="12"/>
      <c r="U464" s="46"/>
      <c r="V464" s="23"/>
      <c r="W464" s="22" t="str">
        <f t="array" ref="W464">IF(A464="","",IFERROR(INDEX(PARAMETROS!$J$2:$J700,MATCH(H464,PARAMETROS!$E$2:$E700,0)),""))</f>
        <v/>
      </c>
      <c r="X464" s="23" t="str">
        <f t="shared" si="1"/>
        <v/>
      </c>
    </row>
    <row r="465" spans="1:24">
      <c r="A465" s="12"/>
      <c r="B465" s="12"/>
      <c r="C465" s="12"/>
      <c r="D465" s="12"/>
      <c r="E465" s="12"/>
      <c r="F465" s="12"/>
      <c r="G465" s="12"/>
      <c r="H465" s="12"/>
      <c r="I465" s="12"/>
      <c r="J465" s="14"/>
      <c r="K465" s="12"/>
      <c r="L465" s="14"/>
      <c r="M465" s="12"/>
      <c r="N465" s="12"/>
      <c r="O465" s="14"/>
      <c r="P465" s="12"/>
      <c r="Q465" s="15"/>
      <c r="R465" s="15"/>
      <c r="S465" s="21"/>
      <c r="T465" s="12"/>
      <c r="U465" s="46"/>
      <c r="V465" s="23"/>
      <c r="W465" s="22" t="str">
        <f t="array" ref="W465">IF(A465="","",IFERROR(INDEX(PARAMETROS!$J$2:$J700,MATCH(H465,PARAMETROS!$E$2:$E700,0)),""))</f>
        <v/>
      </c>
      <c r="X465" s="23" t="str">
        <f t="shared" si="1"/>
        <v/>
      </c>
    </row>
    <row r="466" spans="1:24">
      <c r="A466" s="12"/>
      <c r="B466" s="12"/>
      <c r="C466" s="12"/>
      <c r="D466" s="12"/>
      <c r="E466" s="12"/>
      <c r="F466" s="12"/>
      <c r="G466" s="12"/>
      <c r="H466" s="12"/>
      <c r="I466" s="12"/>
      <c r="J466" s="14"/>
      <c r="K466" s="12"/>
      <c r="L466" s="14"/>
      <c r="M466" s="12"/>
      <c r="N466" s="12"/>
      <c r="O466" s="14"/>
      <c r="P466" s="12"/>
      <c r="Q466" s="15"/>
      <c r="R466" s="15"/>
      <c r="S466" s="21"/>
      <c r="T466" s="12"/>
      <c r="U466" s="46"/>
      <c r="V466" s="23"/>
      <c r="W466" s="22" t="str">
        <f t="array" ref="W466">IF(A466="","",IFERROR(INDEX(PARAMETROS!$J$2:$J700,MATCH(H466,PARAMETROS!$E$2:$E700,0)),""))</f>
        <v/>
      </c>
      <c r="X466" s="23" t="str">
        <f t="shared" si="1"/>
        <v/>
      </c>
    </row>
    <row r="467" spans="1:24">
      <c r="A467" s="12"/>
      <c r="B467" s="12"/>
      <c r="C467" s="12"/>
      <c r="D467" s="12"/>
      <c r="E467" s="12"/>
      <c r="F467" s="12"/>
      <c r="G467" s="12"/>
      <c r="H467" s="12"/>
      <c r="I467" s="12"/>
      <c r="J467" s="14"/>
      <c r="K467" s="12"/>
      <c r="L467" s="14"/>
      <c r="M467" s="12"/>
      <c r="N467" s="12"/>
      <c r="O467" s="14"/>
      <c r="P467" s="12"/>
      <c r="Q467" s="15"/>
      <c r="R467" s="15"/>
      <c r="S467" s="21"/>
      <c r="T467" s="12"/>
      <c r="U467" s="46"/>
      <c r="V467" s="23"/>
      <c r="W467" s="22" t="str">
        <f t="array" ref="W467">IF(A467="","",IFERROR(INDEX(PARAMETROS!$J$2:$J700,MATCH(H467,PARAMETROS!$E$2:$E700,0)),""))</f>
        <v/>
      </c>
      <c r="X467" s="23" t="str">
        <f t="shared" si="1"/>
        <v/>
      </c>
    </row>
    <row r="468" spans="1:24">
      <c r="A468" s="12"/>
      <c r="B468" s="12"/>
      <c r="C468" s="12"/>
      <c r="D468" s="12"/>
      <c r="E468" s="12"/>
      <c r="F468" s="12"/>
      <c r="G468" s="12"/>
      <c r="H468" s="12"/>
      <c r="I468" s="12"/>
      <c r="J468" s="14"/>
      <c r="K468" s="12"/>
      <c r="L468" s="14"/>
      <c r="M468" s="12"/>
      <c r="N468" s="12"/>
      <c r="O468" s="14"/>
      <c r="P468" s="12"/>
      <c r="Q468" s="15"/>
      <c r="R468" s="15"/>
      <c r="S468" s="21"/>
      <c r="T468" s="12"/>
      <c r="U468" s="46"/>
      <c r="V468" s="23"/>
      <c r="W468" s="22" t="str">
        <f t="array" ref="W468">IF(A468="","",IFERROR(INDEX(PARAMETROS!$J$2:$J700,MATCH(H468,PARAMETROS!$E$2:$E700,0)),""))</f>
        <v/>
      </c>
      <c r="X468" s="23" t="str">
        <f t="shared" si="1"/>
        <v/>
      </c>
    </row>
    <row r="469" spans="1:24">
      <c r="A469" s="12"/>
      <c r="B469" s="12"/>
      <c r="C469" s="12"/>
      <c r="D469" s="12"/>
      <c r="E469" s="12"/>
      <c r="F469" s="12"/>
      <c r="G469" s="12"/>
      <c r="H469" s="12"/>
      <c r="I469" s="12"/>
      <c r="J469" s="14"/>
      <c r="K469" s="12"/>
      <c r="L469" s="14"/>
      <c r="M469" s="12"/>
      <c r="N469" s="12"/>
      <c r="O469" s="14"/>
      <c r="P469" s="12"/>
      <c r="Q469" s="15"/>
      <c r="R469" s="15"/>
      <c r="S469" s="21"/>
      <c r="T469" s="12"/>
      <c r="U469" s="46"/>
      <c r="V469" s="23"/>
      <c r="W469" s="22" t="str">
        <f t="array" ref="W469">IF(A469="","",IFERROR(INDEX(PARAMETROS!$J$2:$J700,MATCH(H469,PARAMETROS!$E$2:$E700,0)),""))</f>
        <v/>
      </c>
      <c r="X469" s="23" t="str">
        <f t="shared" si="1"/>
        <v/>
      </c>
    </row>
    <row r="470" spans="1:24">
      <c r="A470" s="12"/>
      <c r="B470" s="12"/>
      <c r="C470" s="12"/>
      <c r="D470" s="12"/>
      <c r="E470" s="12"/>
      <c r="F470" s="12"/>
      <c r="G470" s="12"/>
      <c r="H470" s="12"/>
      <c r="I470" s="12"/>
      <c r="J470" s="14"/>
      <c r="K470" s="12"/>
      <c r="L470" s="14"/>
      <c r="M470" s="12"/>
      <c r="N470" s="12"/>
      <c r="O470" s="14"/>
      <c r="P470" s="12"/>
      <c r="Q470" s="15"/>
      <c r="R470" s="15"/>
      <c r="S470" s="21"/>
      <c r="T470" s="12"/>
      <c r="U470" s="46"/>
      <c r="V470" s="23"/>
      <c r="W470" s="22" t="str">
        <f t="array" ref="W470">IF(A470="","",IFERROR(INDEX(PARAMETROS!$J$2:$J700,MATCH(H470,PARAMETROS!$E$2:$E700,0)),""))</f>
        <v/>
      </c>
      <c r="X470" s="23" t="str">
        <f t="shared" si="1"/>
        <v/>
      </c>
    </row>
    <row r="471" spans="1:24">
      <c r="A471" s="12"/>
      <c r="B471" s="12"/>
      <c r="C471" s="12"/>
      <c r="D471" s="12"/>
      <c r="E471" s="12"/>
      <c r="F471" s="12"/>
      <c r="G471" s="12"/>
      <c r="H471" s="12"/>
      <c r="I471" s="12"/>
      <c r="J471" s="14"/>
      <c r="K471" s="12"/>
      <c r="L471" s="14"/>
      <c r="M471" s="12"/>
      <c r="N471" s="12"/>
      <c r="O471" s="14"/>
      <c r="P471" s="12"/>
      <c r="Q471" s="15"/>
      <c r="R471" s="15"/>
      <c r="S471" s="21"/>
      <c r="T471" s="12"/>
      <c r="U471" s="46"/>
      <c r="V471" s="23"/>
      <c r="W471" s="22" t="str">
        <f t="array" ref="W471">IF(A471="","",IFERROR(INDEX(PARAMETROS!$J$2:$J700,MATCH(H471,PARAMETROS!$E$2:$E700,0)),""))</f>
        <v/>
      </c>
      <c r="X471" s="23" t="str">
        <f t="shared" si="1"/>
        <v/>
      </c>
    </row>
    <row r="472" spans="1:24">
      <c r="A472" s="12"/>
      <c r="B472" s="12"/>
      <c r="C472" s="12"/>
      <c r="D472" s="12"/>
      <c r="E472" s="12"/>
      <c r="F472" s="12"/>
      <c r="G472" s="12"/>
      <c r="H472" s="12"/>
      <c r="I472" s="12"/>
      <c r="J472" s="14"/>
      <c r="K472" s="12"/>
      <c r="L472" s="14"/>
      <c r="M472" s="12"/>
      <c r="N472" s="12"/>
      <c r="O472" s="14"/>
      <c r="P472" s="12"/>
      <c r="Q472" s="15"/>
      <c r="R472" s="15"/>
      <c r="S472" s="21"/>
      <c r="T472" s="12"/>
      <c r="U472" s="46"/>
      <c r="V472" s="23"/>
      <c r="W472" s="22" t="str">
        <f t="array" ref="W472">IF(A472="","",IFERROR(INDEX(PARAMETROS!$J$2:$J700,MATCH(H472,PARAMETROS!$E$2:$E700,0)),""))</f>
        <v/>
      </c>
      <c r="X472" s="23" t="str">
        <f t="shared" si="1"/>
        <v/>
      </c>
    </row>
    <row r="473" spans="1:24">
      <c r="A473" s="12"/>
      <c r="B473" s="12"/>
      <c r="C473" s="12"/>
      <c r="D473" s="12"/>
      <c r="E473" s="12"/>
      <c r="F473" s="12"/>
      <c r="G473" s="12"/>
      <c r="H473" s="12"/>
      <c r="I473" s="12"/>
      <c r="J473" s="14"/>
      <c r="K473" s="12"/>
      <c r="L473" s="14"/>
      <c r="M473" s="12"/>
      <c r="N473" s="12"/>
      <c r="O473" s="14"/>
      <c r="P473" s="12"/>
      <c r="Q473" s="15"/>
      <c r="R473" s="15"/>
      <c r="S473" s="21"/>
      <c r="T473" s="12"/>
      <c r="U473" s="46"/>
      <c r="V473" s="23"/>
      <c r="W473" s="22" t="str">
        <f t="array" ref="W473">IF(A473="","",IFERROR(INDEX(PARAMETROS!$J$2:$J700,MATCH(H473,PARAMETROS!$E$2:$E700,0)),""))</f>
        <v/>
      </c>
      <c r="X473" s="23" t="str">
        <f t="shared" si="1"/>
        <v/>
      </c>
    </row>
    <row r="474" spans="1:24">
      <c r="A474" s="12"/>
      <c r="B474" s="12"/>
      <c r="C474" s="12"/>
      <c r="D474" s="12"/>
      <c r="E474" s="12"/>
      <c r="F474" s="12"/>
      <c r="G474" s="12"/>
      <c r="H474" s="12"/>
      <c r="I474" s="12"/>
      <c r="J474" s="14"/>
      <c r="K474" s="12"/>
      <c r="L474" s="14"/>
      <c r="M474" s="12"/>
      <c r="N474" s="12"/>
      <c r="O474" s="14"/>
      <c r="P474" s="12"/>
      <c r="Q474" s="15"/>
      <c r="R474" s="15"/>
      <c r="S474" s="21"/>
      <c r="T474" s="12"/>
      <c r="U474" s="46"/>
      <c r="V474" s="23"/>
      <c r="W474" s="22" t="str">
        <f t="array" ref="W474">IF(A474="","",IFERROR(INDEX(PARAMETROS!$J$2:$J700,MATCH(H474,PARAMETROS!$E$2:$E700,0)),""))</f>
        <v/>
      </c>
      <c r="X474" s="23" t="str">
        <f t="shared" si="1"/>
        <v/>
      </c>
    </row>
    <row r="475" spans="1:24">
      <c r="A475" s="12"/>
      <c r="B475" s="12"/>
      <c r="C475" s="12"/>
      <c r="D475" s="12"/>
      <c r="E475" s="12"/>
      <c r="F475" s="12"/>
      <c r="G475" s="12"/>
      <c r="H475" s="12"/>
      <c r="I475" s="12"/>
      <c r="J475" s="14"/>
      <c r="K475" s="12"/>
      <c r="L475" s="14"/>
      <c r="M475" s="12"/>
      <c r="N475" s="12"/>
      <c r="O475" s="14"/>
      <c r="P475" s="12"/>
      <c r="Q475" s="15"/>
      <c r="R475" s="15"/>
      <c r="S475" s="21"/>
      <c r="T475" s="12"/>
      <c r="U475" s="46"/>
      <c r="V475" s="23"/>
      <c r="W475" s="22" t="str">
        <f t="array" ref="W475">IF(A475="","",IFERROR(INDEX(PARAMETROS!$J$2:$J700,MATCH(H475,PARAMETROS!$E$2:$E700,0)),""))</f>
        <v/>
      </c>
      <c r="X475" s="23" t="str">
        <f t="shared" si="1"/>
        <v/>
      </c>
    </row>
    <row r="476" spans="1:24">
      <c r="A476" s="12"/>
      <c r="B476" s="12"/>
      <c r="C476" s="12"/>
      <c r="D476" s="12"/>
      <c r="E476" s="12"/>
      <c r="F476" s="12"/>
      <c r="G476" s="12"/>
      <c r="H476" s="12"/>
      <c r="I476" s="12"/>
      <c r="J476" s="14"/>
      <c r="K476" s="12"/>
      <c r="L476" s="14"/>
      <c r="M476" s="12"/>
      <c r="N476" s="12"/>
      <c r="O476" s="14"/>
      <c r="P476" s="12"/>
      <c r="Q476" s="15"/>
      <c r="R476" s="15"/>
      <c r="S476" s="21"/>
      <c r="T476" s="12"/>
      <c r="U476" s="46"/>
      <c r="V476" s="23"/>
      <c r="W476" s="22" t="str">
        <f t="array" ref="W476">IF(A476="","",IFERROR(INDEX(PARAMETROS!$J$2:$J700,MATCH(H476,PARAMETROS!$E$2:$E700,0)),""))</f>
        <v/>
      </c>
      <c r="X476" s="23" t="str">
        <f t="shared" si="1"/>
        <v/>
      </c>
    </row>
    <row r="477" spans="1:24">
      <c r="A477" s="12"/>
      <c r="B477" s="12"/>
      <c r="C477" s="12"/>
      <c r="D477" s="12"/>
      <c r="E477" s="12"/>
      <c r="F477" s="12"/>
      <c r="G477" s="12"/>
      <c r="H477" s="12"/>
      <c r="I477" s="12"/>
      <c r="J477" s="14"/>
      <c r="K477" s="12"/>
      <c r="L477" s="14"/>
      <c r="M477" s="12"/>
      <c r="N477" s="12"/>
      <c r="O477" s="14"/>
      <c r="P477" s="12"/>
      <c r="Q477" s="15"/>
      <c r="R477" s="15"/>
      <c r="S477" s="21"/>
      <c r="T477" s="12"/>
      <c r="U477" s="46"/>
      <c r="V477" s="23"/>
      <c r="W477" s="22" t="str">
        <f t="array" ref="W477">IF(A477="","",IFERROR(INDEX(PARAMETROS!$J$2:$J700,MATCH(H477,PARAMETROS!$E$2:$E700,0)),""))</f>
        <v/>
      </c>
      <c r="X477" s="23" t="str">
        <f t="shared" si="1"/>
        <v/>
      </c>
    </row>
    <row r="478" spans="1:24">
      <c r="A478" s="12"/>
      <c r="B478" s="12"/>
      <c r="C478" s="12"/>
      <c r="D478" s="12"/>
      <c r="E478" s="12"/>
      <c r="F478" s="12"/>
      <c r="G478" s="12"/>
      <c r="H478" s="12"/>
      <c r="I478" s="12"/>
      <c r="J478" s="14"/>
      <c r="K478" s="12"/>
      <c r="L478" s="14"/>
      <c r="M478" s="12"/>
      <c r="N478" s="12"/>
      <c r="O478" s="14"/>
      <c r="P478" s="12"/>
      <c r="Q478" s="15"/>
      <c r="R478" s="15"/>
      <c r="S478" s="21"/>
      <c r="T478" s="12"/>
      <c r="U478" s="46"/>
      <c r="V478" s="23"/>
      <c r="W478" s="22" t="str">
        <f t="array" ref="W478">IF(A478="","",IFERROR(INDEX(PARAMETROS!$J$2:$J700,MATCH(H478,PARAMETROS!$E$2:$E700,0)),""))</f>
        <v/>
      </c>
      <c r="X478" s="23" t="str">
        <f t="shared" si="1"/>
        <v/>
      </c>
    </row>
    <row r="479" spans="1:24">
      <c r="A479" s="12"/>
      <c r="B479" s="12"/>
      <c r="C479" s="12"/>
      <c r="D479" s="12"/>
      <c r="E479" s="12"/>
      <c r="F479" s="12"/>
      <c r="G479" s="12"/>
      <c r="H479" s="12"/>
      <c r="I479" s="12"/>
      <c r="J479" s="14"/>
      <c r="K479" s="12"/>
      <c r="L479" s="14"/>
      <c r="M479" s="12"/>
      <c r="N479" s="12"/>
      <c r="O479" s="14"/>
      <c r="P479" s="12"/>
      <c r="Q479" s="15"/>
      <c r="R479" s="15"/>
      <c r="S479" s="21"/>
      <c r="T479" s="12"/>
      <c r="U479" s="46"/>
      <c r="V479" s="23"/>
      <c r="W479" s="22" t="str">
        <f t="array" ref="W479">IF(A479="","",IFERROR(INDEX(PARAMETROS!$J$2:$J700,MATCH(H479,PARAMETROS!$E$2:$E700,0)),""))</f>
        <v/>
      </c>
      <c r="X479" s="23" t="str">
        <f t="shared" si="1"/>
        <v/>
      </c>
    </row>
    <row r="480" spans="1:24">
      <c r="A480" s="12"/>
      <c r="B480" s="12"/>
      <c r="C480" s="12"/>
      <c r="D480" s="12"/>
      <c r="E480" s="12"/>
      <c r="F480" s="12"/>
      <c r="G480" s="12"/>
      <c r="H480" s="12"/>
      <c r="I480" s="12"/>
      <c r="J480" s="14"/>
      <c r="K480" s="12"/>
      <c r="L480" s="14"/>
      <c r="M480" s="12"/>
      <c r="N480" s="12"/>
      <c r="O480" s="14"/>
      <c r="P480" s="12"/>
      <c r="Q480" s="15"/>
      <c r="R480" s="15"/>
      <c r="S480" s="21"/>
      <c r="T480" s="12"/>
      <c r="U480" s="46"/>
      <c r="V480" s="23"/>
      <c r="W480" s="22" t="str">
        <f t="array" ref="W480">IF(A480="","",IFERROR(INDEX(PARAMETROS!$J$2:$J700,MATCH(H480,PARAMETROS!$E$2:$E700,0)),""))</f>
        <v/>
      </c>
      <c r="X480" s="23" t="str">
        <f t="shared" si="1"/>
        <v/>
      </c>
    </row>
    <row r="481" spans="1:24">
      <c r="A481" s="12"/>
      <c r="B481" s="12"/>
      <c r="C481" s="12"/>
      <c r="D481" s="12"/>
      <c r="E481" s="12"/>
      <c r="F481" s="12"/>
      <c r="G481" s="12"/>
      <c r="H481" s="12"/>
      <c r="I481" s="12"/>
      <c r="J481" s="14"/>
      <c r="K481" s="12"/>
      <c r="L481" s="14"/>
      <c r="M481" s="12"/>
      <c r="N481" s="12"/>
      <c r="O481" s="14"/>
      <c r="P481" s="12"/>
      <c r="Q481" s="15"/>
      <c r="R481" s="15"/>
      <c r="S481" s="21"/>
      <c r="T481" s="12"/>
      <c r="U481" s="46"/>
      <c r="V481" s="23"/>
      <c r="W481" s="22" t="str">
        <f t="array" ref="W481">IF(A481="","",IFERROR(INDEX(PARAMETROS!$J$2:$J700,MATCH(H481,PARAMETROS!$E$2:$E700,0)),""))</f>
        <v/>
      </c>
      <c r="X481" s="23" t="str">
        <f t="shared" si="1"/>
        <v/>
      </c>
    </row>
    <row r="482" spans="1:24">
      <c r="A482" s="12"/>
      <c r="B482" s="12"/>
      <c r="C482" s="12"/>
      <c r="D482" s="12"/>
      <c r="E482" s="12"/>
      <c r="F482" s="12"/>
      <c r="G482" s="12"/>
      <c r="H482" s="12"/>
      <c r="I482" s="12"/>
      <c r="J482" s="14"/>
      <c r="K482" s="12"/>
      <c r="L482" s="14"/>
      <c r="M482" s="12"/>
      <c r="N482" s="12"/>
      <c r="O482" s="14"/>
      <c r="P482" s="12"/>
      <c r="Q482" s="15"/>
      <c r="R482" s="15"/>
      <c r="S482" s="21"/>
      <c r="T482" s="12"/>
      <c r="U482" s="46"/>
      <c r="V482" s="23"/>
      <c r="W482" s="22" t="str">
        <f t="array" ref="W482">IF(A482="","",IFERROR(INDEX(PARAMETROS!$J$2:$J700,MATCH(H482,PARAMETROS!$E$2:$E700,0)),""))</f>
        <v/>
      </c>
      <c r="X482" s="23" t="str">
        <f t="shared" si="1"/>
        <v/>
      </c>
    </row>
    <row r="483" spans="1:24">
      <c r="A483" s="12"/>
      <c r="B483" s="12"/>
      <c r="C483" s="12"/>
      <c r="D483" s="12"/>
      <c r="E483" s="12"/>
      <c r="F483" s="12"/>
      <c r="G483" s="12"/>
      <c r="H483" s="12"/>
      <c r="I483" s="12"/>
      <c r="J483" s="14"/>
      <c r="K483" s="12"/>
      <c r="L483" s="14"/>
      <c r="M483" s="12"/>
      <c r="N483" s="12"/>
      <c r="O483" s="14"/>
      <c r="P483" s="12"/>
      <c r="Q483" s="15"/>
      <c r="R483" s="15"/>
      <c r="S483" s="21"/>
      <c r="T483" s="12"/>
      <c r="U483" s="46"/>
      <c r="V483" s="23"/>
      <c r="W483" s="22" t="str">
        <f t="array" ref="W483">IF(A483="","",IFERROR(INDEX(PARAMETROS!$J$2:$J700,MATCH(H483,PARAMETROS!$E$2:$E700,0)),""))</f>
        <v/>
      </c>
      <c r="X483" s="23" t="str">
        <f t="shared" si="1"/>
        <v/>
      </c>
    </row>
    <row r="484" spans="1:24">
      <c r="A484" s="12"/>
      <c r="B484" s="12"/>
      <c r="C484" s="12"/>
      <c r="D484" s="12"/>
      <c r="E484" s="12"/>
      <c r="F484" s="12"/>
      <c r="G484" s="12"/>
      <c r="H484" s="12"/>
      <c r="I484" s="12"/>
      <c r="J484" s="14"/>
      <c r="K484" s="12"/>
      <c r="L484" s="14"/>
      <c r="M484" s="12"/>
      <c r="N484" s="12"/>
      <c r="O484" s="14"/>
      <c r="P484" s="12"/>
      <c r="Q484" s="15"/>
      <c r="R484" s="15"/>
      <c r="S484" s="21"/>
      <c r="T484" s="12"/>
      <c r="U484" s="46"/>
      <c r="V484" s="23"/>
      <c r="W484" s="22" t="str">
        <f t="array" ref="W484">IF(A484="","",IFERROR(INDEX(PARAMETROS!$J$2:$J700,MATCH(H484,PARAMETROS!$E$2:$E700,0)),""))</f>
        <v/>
      </c>
      <c r="X484" s="23" t="str">
        <f t="shared" si="1"/>
        <v/>
      </c>
    </row>
    <row r="485" spans="1:24">
      <c r="A485" s="12"/>
      <c r="B485" s="12"/>
      <c r="C485" s="12"/>
      <c r="D485" s="12"/>
      <c r="E485" s="12"/>
      <c r="F485" s="12"/>
      <c r="G485" s="12"/>
      <c r="H485" s="12"/>
      <c r="I485" s="12"/>
      <c r="J485" s="14"/>
      <c r="K485" s="12"/>
      <c r="L485" s="14"/>
      <c r="M485" s="12"/>
      <c r="N485" s="12"/>
      <c r="O485" s="14"/>
      <c r="P485" s="12"/>
      <c r="Q485" s="15"/>
      <c r="R485" s="15"/>
      <c r="S485" s="21"/>
      <c r="T485" s="12"/>
      <c r="U485" s="46"/>
      <c r="V485" s="23"/>
      <c r="W485" s="22" t="str">
        <f t="array" ref="W485">IF(A485="","",IFERROR(INDEX(PARAMETROS!$J$2:$J700,MATCH(H485,PARAMETROS!$E$2:$E700,0)),""))</f>
        <v/>
      </c>
      <c r="X485" s="23" t="str">
        <f t="shared" si="1"/>
        <v/>
      </c>
    </row>
    <row r="486" spans="1:24">
      <c r="A486" s="12"/>
      <c r="B486" s="12"/>
      <c r="C486" s="12"/>
      <c r="D486" s="12"/>
      <c r="E486" s="12"/>
      <c r="F486" s="12"/>
      <c r="G486" s="12"/>
      <c r="H486" s="12"/>
      <c r="I486" s="12"/>
      <c r="J486" s="14"/>
      <c r="K486" s="12"/>
      <c r="L486" s="14"/>
      <c r="M486" s="12"/>
      <c r="N486" s="12"/>
      <c r="O486" s="14"/>
      <c r="P486" s="12"/>
      <c r="Q486" s="15"/>
      <c r="R486" s="15"/>
      <c r="S486" s="21"/>
      <c r="T486" s="12"/>
      <c r="U486" s="46"/>
      <c r="V486" s="23"/>
      <c r="W486" s="22" t="str">
        <f t="array" ref="W486">IF(A486="","",IFERROR(INDEX(PARAMETROS!$J$2:$J700,MATCH(H486,PARAMETROS!$E$2:$E700,0)),""))</f>
        <v/>
      </c>
      <c r="X486" s="23" t="str">
        <f t="shared" si="1"/>
        <v/>
      </c>
    </row>
    <row r="487" spans="1:24">
      <c r="A487" s="12"/>
      <c r="B487" s="12"/>
      <c r="C487" s="12"/>
      <c r="D487" s="12"/>
      <c r="E487" s="12"/>
      <c r="F487" s="12"/>
      <c r="G487" s="12"/>
      <c r="H487" s="12"/>
      <c r="I487" s="12"/>
      <c r="J487" s="14"/>
      <c r="K487" s="12"/>
      <c r="L487" s="14"/>
      <c r="M487" s="12"/>
      <c r="N487" s="12"/>
      <c r="O487" s="14"/>
      <c r="P487" s="12"/>
      <c r="Q487" s="15"/>
      <c r="R487" s="15"/>
      <c r="S487" s="21"/>
      <c r="T487" s="12"/>
      <c r="U487" s="46"/>
      <c r="V487" s="23"/>
      <c r="W487" s="22" t="str">
        <f t="array" ref="W487">IF(A487="","",IFERROR(INDEX(PARAMETROS!$J$2:$J700,MATCH(H487,PARAMETROS!$E$2:$E700,0)),""))</f>
        <v/>
      </c>
      <c r="X487" s="23" t="str">
        <f t="shared" si="1"/>
        <v/>
      </c>
    </row>
    <row r="488" spans="1:24">
      <c r="A488" s="12"/>
      <c r="B488" s="12"/>
      <c r="C488" s="12"/>
      <c r="D488" s="12"/>
      <c r="E488" s="12"/>
      <c r="F488" s="12"/>
      <c r="G488" s="12"/>
      <c r="H488" s="12"/>
      <c r="I488" s="12"/>
      <c r="J488" s="14"/>
      <c r="K488" s="12"/>
      <c r="L488" s="14"/>
      <c r="M488" s="12"/>
      <c r="N488" s="12"/>
      <c r="O488" s="14"/>
      <c r="P488" s="12"/>
      <c r="Q488" s="15"/>
      <c r="R488" s="15"/>
      <c r="S488" s="21"/>
      <c r="T488" s="12"/>
      <c r="U488" s="46"/>
      <c r="V488" s="23"/>
      <c r="W488" s="22" t="str">
        <f t="array" ref="W488">IF(A488="","",IFERROR(INDEX(PARAMETROS!$J$2:$J700,MATCH(H488,PARAMETROS!$E$2:$E700,0)),""))</f>
        <v/>
      </c>
      <c r="X488" s="23" t="str">
        <f t="shared" si="1"/>
        <v/>
      </c>
    </row>
    <row r="489" spans="1:24">
      <c r="A489" s="12"/>
      <c r="B489" s="12"/>
      <c r="C489" s="12"/>
      <c r="D489" s="12"/>
      <c r="E489" s="12"/>
      <c r="F489" s="12"/>
      <c r="G489" s="12"/>
      <c r="H489" s="12"/>
      <c r="I489" s="12"/>
      <c r="J489" s="14"/>
      <c r="K489" s="12"/>
      <c r="L489" s="14"/>
      <c r="M489" s="12"/>
      <c r="N489" s="12"/>
      <c r="O489" s="14"/>
      <c r="P489" s="12"/>
      <c r="Q489" s="15"/>
      <c r="R489" s="15"/>
      <c r="S489" s="21"/>
      <c r="T489" s="12"/>
      <c r="U489" s="46"/>
      <c r="V489" s="23"/>
      <c r="W489" s="22" t="str">
        <f t="array" ref="W489">IF(A489="","",IFERROR(INDEX(PARAMETROS!$J$2:$J700,MATCH(H489,PARAMETROS!$E$2:$E700,0)),""))</f>
        <v/>
      </c>
      <c r="X489" s="23" t="str">
        <f t="shared" si="1"/>
        <v/>
      </c>
    </row>
    <row r="490" spans="1:24">
      <c r="A490" s="12"/>
      <c r="B490" s="12"/>
      <c r="C490" s="12"/>
      <c r="D490" s="12"/>
      <c r="E490" s="12"/>
      <c r="F490" s="12"/>
      <c r="G490" s="12"/>
      <c r="H490" s="12"/>
      <c r="I490" s="12"/>
      <c r="J490" s="14"/>
      <c r="K490" s="12"/>
      <c r="L490" s="14"/>
      <c r="M490" s="12"/>
      <c r="N490" s="12"/>
      <c r="O490" s="14"/>
      <c r="P490" s="12"/>
      <c r="Q490" s="15"/>
      <c r="R490" s="15"/>
      <c r="S490" s="21"/>
      <c r="T490" s="12"/>
      <c r="U490" s="46"/>
      <c r="V490" s="23"/>
      <c r="W490" s="22" t="str">
        <f t="array" ref="W490">IF(A490="","",IFERROR(INDEX(PARAMETROS!$J$2:$J700,MATCH(H490,PARAMETROS!$E$2:$E700,0)),""))</f>
        <v/>
      </c>
      <c r="X490" s="23" t="str">
        <f t="shared" si="1"/>
        <v/>
      </c>
    </row>
    <row r="491" spans="1:24">
      <c r="A491" s="12"/>
      <c r="B491" s="12"/>
      <c r="C491" s="12"/>
      <c r="D491" s="12"/>
      <c r="E491" s="12"/>
      <c r="F491" s="12"/>
      <c r="G491" s="12"/>
      <c r="H491" s="12"/>
      <c r="I491" s="12"/>
      <c r="J491" s="14"/>
      <c r="K491" s="12"/>
      <c r="L491" s="14"/>
      <c r="M491" s="12"/>
      <c r="N491" s="12"/>
      <c r="O491" s="14"/>
      <c r="P491" s="12"/>
      <c r="Q491" s="15"/>
      <c r="R491" s="15"/>
      <c r="S491" s="21"/>
      <c r="T491" s="12"/>
      <c r="U491" s="46"/>
      <c r="V491" s="23"/>
      <c r="W491" s="22" t="str">
        <f t="array" ref="W491">IF(A491="","",IFERROR(INDEX(PARAMETROS!$J$2:$J700,MATCH(H491,PARAMETROS!$E$2:$E700,0)),""))</f>
        <v/>
      </c>
      <c r="X491" s="23" t="str">
        <f t="shared" si="1"/>
        <v/>
      </c>
    </row>
    <row r="492" spans="1:24">
      <c r="A492" s="12"/>
      <c r="B492" s="12"/>
      <c r="C492" s="12"/>
      <c r="D492" s="12"/>
      <c r="E492" s="12"/>
      <c r="F492" s="12"/>
      <c r="G492" s="12"/>
      <c r="H492" s="12"/>
      <c r="I492" s="12"/>
      <c r="J492" s="14"/>
      <c r="K492" s="12"/>
      <c r="L492" s="14"/>
      <c r="M492" s="12"/>
      <c r="N492" s="12"/>
      <c r="O492" s="14"/>
      <c r="P492" s="12"/>
      <c r="Q492" s="15"/>
      <c r="R492" s="15"/>
      <c r="S492" s="21"/>
      <c r="T492" s="12"/>
      <c r="U492" s="46"/>
      <c r="V492" s="23"/>
      <c r="W492" s="22" t="str">
        <f t="array" ref="W492">IF(A492="","",IFERROR(INDEX(PARAMETROS!$J$2:$J700,MATCH(H492,PARAMETROS!$E$2:$E700,0)),""))</f>
        <v/>
      </c>
      <c r="X492" s="23" t="str">
        <f t="shared" si="1"/>
        <v/>
      </c>
    </row>
    <row r="493" spans="1:24">
      <c r="A493" s="12"/>
      <c r="B493" s="12"/>
      <c r="C493" s="12"/>
      <c r="D493" s="12"/>
      <c r="E493" s="12"/>
      <c r="F493" s="12"/>
      <c r="G493" s="12"/>
      <c r="H493" s="12"/>
      <c r="I493" s="12"/>
      <c r="J493" s="14"/>
      <c r="K493" s="12"/>
      <c r="L493" s="14"/>
      <c r="M493" s="12"/>
      <c r="N493" s="12"/>
      <c r="O493" s="14"/>
      <c r="P493" s="12"/>
      <c r="Q493" s="15"/>
      <c r="R493" s="15"/>
      <c r="S493" s="21"/>
      <c r="T493" s="12"/>
      <c r="U493" s="46"/>
      <c r="V493" s="23"/>
      <c r="W493" s="22" t="str">
        <f t="array" ref="W493">IF(A493="","",IFERROR(INDEX(PARAMETROS!$J$2:$J700,MATCH(H493,PARAMETROS!$E$2:$E700,0)),""))</f>
        <v/>
      </c>
      <c r="X493" s="23" t="str">
        <f t="shared" si="1"/>
        <v/>
      </c>
    </row>
    <row r="494" spans="1:24">
      <c r="A494" s="12"/>
      <c r="B494" s="12"/>
      <c r="C494" s="12"/>
      <c r="D494" s="12"/>
      <c r="E494" s="12"/>
      <c r="F494" s="12"/>
      <c r="G494" s="12"/>
      <c r="H494" s="12"/>
      <c r="I494" s="12"/>
      <c r="J494" s="14"/>
      <c r="K494" s="12"/>
      <c r="L494" s="14"/>
      <c r="M494" s="12"/>
      <c r="N494" s="12"/>
      <c r="O494" s="14"/>
      <c r="P494" s="12"/>
      <c r="Q494" s="15"/>
      <c r="R494" s="15"/>
      <c r="S494" s="21"/>
      <c r="T494" s="12"/>
      <c r="U494" s="46"/>
      <c r="V494" s="23"/>
      <c r="W494" s="22" t="str">
        <f t="array" ref="W494">IF(A494="","",IFERROR(INDEX(PARAMETROS!$J$2:$J700,MATCH(H494,PARAMETROS!$E$2:$E700,0)),""))</f>
        <v/>
      </c>
      <c r="X494" s="23" t="str">
        <f t="shared" si="1"/>
        <v/>
      </c>
    </row>
    <row r="495" spans="1:24">
      <c r="A495" s="12"/>
      <c r="B495" s="12"/>
      <c r="C495" s="12"/>
      <c r="D495" s="12"/>
      <c r="E495" s="12"/>
      <c r="F495" s="12"/>
      <c r="G495" s="12"/>
      <c r="H495" s="12"/>
      <c r="I495" s="12"/>
      <c r="J495" s="14"/>
      <c r="K495" s="12"/>
      <c r="L495" s="14"/>
      <c r="M495" s="12"/>
      <c r="N495" s="12"/>
      <c r="O495" s="14"/>
      <c r="P495" s="12"/>
      <c r="Q495" s="15"/>
      <c r="R495" s="15"/>
      <c r="S495" s="21"/>
      <c r="T495" s="12"/>
      <c r="U495" s="46"/>
      <c r="V495" s="23"/>
      <c r="W495" s="22" t="str">
        <f t="array" ref="W495">IF(A495="","",IFERROR(INDEX(PARAMETROS!$J$2:$J700,MATCH(H495,PARAMETROS!$E$2:$E700,0)),""))</f>
        <v/>
      </c>
      <c r="X495" s="23" t="str">
        <f t="shared" si="1"/>
        <v/>
      </c>
    </row>
    <row r="496" spans="1:24">
      <c r="A496" s="12"/>
      <c r="B496" s="12"/>
      <c r="C496" s="12"/>
      <c r="D496" s="12"/>
      <c r="E496" s="12"/>
      <c r="F496" s="12"/>
      <c r="G496" s="12"/>
      <c r="H496" s="12"/>
      <c r="I496" s="12"/>
      <c r="J496" s="14"/>
      <c r="K496" s="12"/>
      <c r="L496" s="14"/>
      <c r="M496" s="12"/>
      <c r="N496" s="12"/>
      <c r="O496" s="14"/>
      <c r="P496" s="12"/>
      <c r="Q496" s="15"/>
      <c r="R496" s="15"/>
      <c r="S496" s="21"/>
      <c r="T496" s="12"/>
      <c r="U496" s="46"/>
      <c r="V496" s="23"/>
      <c r="W496" s="22" t="str">
        <f t="array" ref="W496">IF(A496="","",IFERROR(INDEX(PARAMETROS!$J$2:$J700,MATCH(H496,PARAMETROS!$E$2:$E700,0)),""))</f>
        <v/>
      </c>
      <c r="X496" s="23" t="str">
        <f t="shared" si="1"/>
        <v/>
      </c>
    </row>
    <row r="497" spans="1:24">
      <c r="A497" s="12"/>
      <c r="B497" s="12"/>
      <c r="C497" s="12"/>
      <c r="D497" s="12"/>
      <c r="E497" s="12"/>
      <c r="F497" s="12"/>
      <c r="G497" s="12"/>
      <c r="H497" s="12"/>
      <c r="I497" s="12"/>
      <c r="J497" s="14"/>
      <c r="K497" s="12"/>
      <c r="L497" s="14"/>
      <c r="M497" s="12"/>
      <c r="N497" s="12"/>
      <c r="O497" s="14"/>
      <c r="P497" s="12"/>
      <c r="Q497" s="15"/>
      <c r="R497" s="15"/>
      <c r="S497" s="21"/>
      <c r="T497" s="12"/>
      <c r="U497" s="46"/>
      <c r="V497" s="23"/>
      <c r="W497" s="22" t="str">
        <f t="array" ref="W497">IF(A497="","",IFERROR(INDEX(PARAMETROS!$J$2:$J700,MATCH(H497,PARAMETROS!$E$2:$E700,0)),""))</f>
        <v/>
      </c>
      <c r="X497" s="23" t="str">
        <f t="shared" si="1"/>
        <v/>
      </c>
    </row>
    <row r="498" spans="1:24">
      <c r="A498" s="12"/>
      <c r="B498" s="12"/>
      <c r="C498" s="12"/>
      <c r="D498" s="12"/>
      <c r="E498" s="12"/>
      <c r="F498" s="12"/>
      <c r="G498" s="12"/>
      <c r="H498" s="12"/>
      <c r="I498" s="12"/>
      <c r="J498" s="14"/>
      <c r="K498" s="12"/>
      <c r="L498" s="14"/>
      <c r="M498" s="12"/>
      <c r="N498" s="12"/>
      <c r="O498" s="14"/>
      <c r="P498" s="12"/>
      <c r="Q498" s="15"/>
      <c r="R498" s="15"/>
      <c r="S498" s="21"/>
      <c r="T498" s="12"/>
      <c r="U498" s="46"/>
      <c r="V498" s="23"/>
      <c r="W498" s="22" t="str">
        <f t="array" ref="W498">IF(A498="","",IFERROR(INDEX(PARAMETROS!$J$2:$J700,MATCH(H498,PARAMETROS!$E$2:$E700,0)),""))</f>
        <v/>
      </c>
      <c r="X498" s="23" t="str">
        <f t="shared" si="1"/>
        <v/>
      </c>
    </row>
    <row r="499" spans="1:24">
      <c r="A499" s="12"/>
      <c r="B499" s="12"/>
      <c r="C499" s="12"/>
      <c r="D499" s="12"/>
      <c r="E499" s="12"/>
      <c r="F499" s="12"/>
      <c r="G499" s="12"/>
      <c r="H499" s="12"/>
      <c r="I499" s="12"/>
      <c r="J499" s="14"/>
      <c r="K499" s="12"/>
      <c r="L499" s="14"/>
      <c r="M499" s="12"/>
      <c r="N499" s="12"/>
      <c r="O499" s="14"/>
      <c r="P499" s="12"/>
      <c r="Q499" s="15"/>
      <c r="R499" s="15"/>
      <c r="S499" s="21"/>
      <c r="T499" s="12"/>
      <c r="U499" s="46"/>
      <c r="V499" s="23"/>
      <c r="W499" s="22" t="str">
        <f t="array" ref="W499">IF(A499="","",IFERROR(INDEX(PARAMETROS!$J$2:$J700,MATCH(H499,PARAMETROS!$E$2:$E700,0)),""))</f>
        <v/>
      </c>
      <c r="X499" s="23" t="str">
        <f t="shared" si="1"/>
        <v/>
      </c>
    </row>
    <row r="500" spans="1:24">
      <c r="A500" s="12"/>
      <c r="B500" s="12"/>
      <c r="C500" s="12"/>
      <c r="D500" s="12"/>
      <c r="E500" s="12"/>
      <c r="F500" s="12"/>
      <c r="G500" s="12"/>
      <c r="H500" s="12"/>
      <c r="I500" s="12"/>
      <c r="J500" s="14"/>
      <c r="K500" s="12"/>
      <c r="L500" s="14"/>
      <c r="M500" s="12"/>
      <c r="N500" s="12"/>
      <c r="O500" s="14"/>
      <c r="P500" s="12"/>
      <c r="Q500" s="15"/>
      <c r="R500" s="15"/>
      <c r="S500" s="21"/>
      <c r="T500" s="12"/>
      <c r="U500" s="46"/>
      <c r="V500" s="23"/>
      <c r="W500" s="22" t="str">
        <f t="array" ref="W500">IF(A500="","",IFERROR(INDEX(PARAMETROS!$J$2:$J700,MATCH(H500,PARAMETROS!$E$2:$E700,0)),""))</f>
        <v/>
      </c>
      <c r="X500" s="23" t="str">
        <f t="shared" si="1"/>
        <v/>
      </c>
    </row>
    <row r="501" spans="1:24">
      <c r="A501" s="12"/>
      <c r="B501" s="12"/>
      <c r="C501" s="12"/>
      <c r="D501" s="12"/>
      <c r="E501" s="12"/>
      <c r="F501" s="12"/>
      <c r="G501" s="12"/>
      <c r="H501" s="12"/>
      <c r="I501" s="12"/>
      <c r="J501" s="14"/>
      <c r="K501" s="12"/>
      <c r="L501" s="14"/>
      <c r="M501" s="12"/>
      <c r="N501" s="12"/>
      <c r="O501" s="14"/>
      <c r="P501" s="12"/>
      <c r="Q501" s="15"/>
      <c r="R501" s="15"/>
      <c r="S501" s="21"/>
      <c r="T501" s="12"/>
      <c r="U501" s="46"/>
      <c r="V501" s="23"/>
      <c r="W501" s="22" t="str">
        <f t="array" ref="W501">IF(A501="","",IFERROR(INDEX(PARAMETROS!$J$2:$J700,MATCH(H501,PARAMETROS!$E$2:$E700,0)),""))</f>
        <v/>
      </c>
      <c r="X501" s="23" t="str">
        <f t="shared" si="1"/>
        <v/>
      </c>
    </row>
    <row r="502" spans="1:24">
      <c r="A502" s="12"/>
      <c r="B502" s="12"/>
      <c r="C502" s="12"/>
      <c r="D502" s="12"/>
      <c r="E502" s="12"/>
      <c r="F502" s="12"/>
      <c r="G502" s="12"/>
      <c r="H502" s="12"/>
      <c r="I502" s="12"/>
      <c r="J502" s="14"/>
      <c r="K502" s="12"/>
      <c r="L502" s="14"/>
      <c r="M502" s="12"/>
      <c r="N502" s="12"/>
      <c r="O502" s="14"/>
      <c r="P502" s="12"/>
      <c r="Q502" s="15"/>
      <c r="R502" s="15"/>
      <c r="S502" s="21"/>
      <c r="T502" s="12"/>
      <c r="U502" s="46"/>
      <c r="V502" s="23"/>
      <c r="W502" s="22" t="str">
        <f t="array" ref="W502">IF(A502="","",IFERROR(INDEX(PARAMETROS!$J$2:$J700,MATCH(H502,PARAMETROS!$E$2:$E700,0)),""))</f>
        <v/>
      </c>
      <c r="X502" s="23" t="str">
        <f t="shared" si="1"/>
        <v/>
      </c>
    </row>
    <row r="503" spans="1:24">
      <c r="A503" s="12"/>
      <c r="B503" s="12"/>
      <c r="C503" s="12"/>
      <c r="D503" s="12"/>
      <c r="E503" s="12"/>
      <c r="F503" s="12"/>
      <c r="G503" s="12"/>
      <c r="H503" s="12"/>
      <c r="I503" s="12"/>
      <c r="J503" s="14"/>
      <c r="K503" s="12"/>
      <c r="L503" s="14"/>
      <c r="M503" s="12"/>
      <c r="N503" s="12"/>
      <c r="O503" s="14"/>
      <c r="P503" s="12"/>
      <c r="Q503" s="15"/>
      <c r="R503" s="15"/>
      <c r="S503" s="21"/>
      <c r="T503" s="12"/>
      <c r="U503" s="46"/>
      <c r="V503" s="23"/>
      <c r="W503" s="22" t="str">
        <f t="array" ref="W503">IF(A503="","",IFERROR(INDEX(PARAMETROS!$J$2:$J700,MATCH(H503,PARAMETROS!$E$2:$E700,0)),""))</f>
        <v/>
      </c>
      <c r="X503" s="23" t="str">
        <f t="shared" si="1"/>
        <v/>
      </c>
    </row>
    <row r="504" spans="1:24">
      <c r="A504" s="12"/>
      <c r="B504" s="12"/>
      <c r="C504" s="12"/>
      <c r="D504" s="12"/>
      <c r="E504" s="12"/>
      <c r="F504" s="12"/>
      <c r="G504" s="12"/>
      <c r="H504" s="12"/>
      <c r="I504" s="12"/>
      <c r="J504" s="14"/>
      <c r="K504" s="12"/>
      <c r="L504" s="14"/>
      <c r="M504" s="12"/>
      <c r="N504" s="12"/>
      <c r="O504" s="14"/>
      <c r="P504" s="12"/>
      <c r="Q504" s="15"/>
      <c r="R504" s="15"/>
      <c r="S504" s="21"/>
      <c r="T504" s="12"/>
      <c r="U504" s="46"/>
      <c r="V504" s="23"/>
      <c r="W504" s="22" t="str">
        <f t="array" ref="W504">IF(A504="","",IFERROR(INDEX(PARAMETROS!$J$2:$J700,MATCH(H504,PARAMETROS!$E$2:$E700,0)),""))</f>
        <v/>
      </c>
      <c r="X504" s="23" t="str">
        <f t="shared" si="1"/>
        <v/>
      </c>
    </row>
    <row r="505" spans="1:24">
      <c r="A505" s="12"/>
      <c r="B505" s="12"/>
      <c r="C505" s="12"/>
      <c r="D505" s="12"/>
      <c r="E505" s="12"/>
      <c r="F505" s="12"/>
      <c r="G505" s="12"/>
      <c r="H505" s="12"/>
      <c r="I505" s="12"/>
      <c r="J505" s="14"/>
      <c r="K505" s="12"/>
      <c r="L505" s="14"/>
      <c r="M505" s="12"/>
      <c r="N505" s="12"/>
      <c r="O505" s="14"/>
      <c r="P505" s="12"/>
      <c r="Q505" s="15"/>
      <c r="R505" s="15"/>
      <c r="S505" s="21"/>
      <c r="T505" s="12"/>
      <c r="U505" s="46"/>
      <c r="V505" s="23"/>
      <c r="W505" s="22" t="str">
        <f t="array" ref="W505">IF(A505="","",IFERROR(INDEX(PARAMETROS!$J$2:$J700,MATCH(H505,PARAMETROS!$E$2:$E700,0)),""))</f>
        <v/>
      </c>
      <c r="X505" s="23" t="str">
        <f t="shared" si="1"/>
        <v/>
      </c>
    </row>
    <row r="506" spans="1:24">
      <c r="A506" s="12"/>
      <c r="B506" s="12"/>
      <c r="C506" s="12"/>
      <c r="D506" s="12"/>
      <c r="E506" s="12"/>
      <c r="F506" s="12"/>
      <c r="G506" s="12"/>
      <c r="H506" s="12"/>
      <c r="I506" s="12"/>
      <c r="J506" s="14"/>
      <c r="K506" s="12"/>
      <c r="L506" s="14"/>
      <c r="M506" s="12"/>
      <c r="N506" s="12"/>
      <c r="O506" s="14"/>
      <c r="P506" s="12"/>
      <c r="Q506" s="15"/>
      <c r="R506" s="15"/>
      <c r="S506" s="21"/>
      <c r="T506" s="12"/>
      <c r="U506" s="46"/>
      <c r="V506" s="23"/>
      <c r="W506" s="22" t="str">
        <f t="array" ref="W506">IF(A506="","",IFERROR(INDEX(PARAMETROS!$J$2:$J700,MATCH(H506,PARAMETROS!$E$2:$E700,0)),""))</f>
        <v/>
      </c>
      <c r="X506" s="23" t="str">
        <f t="shared" si="1"/>
        <v/>
      </c>
    </row>
    <row r="507" spans="1:24">
      <c r="A507" s="12"/>
      <c r="B507" s="12"/>
      <c r="C507" s="12"/>
      <c r="D507" s="12"/>
      <c r="E507" s="12"/>
      <c r="F507" s="12"/>
      <c r="G507" s="12"/>
      <c r="H507" s="12"/>
      <c r="I507" s="12"/>
      <c r="J507" s="14"/>
      <c r="K507" s="12"/>
      <c r="L507" s="14"/>
      <c r="M507" s="12"/>
      <c r="N507" s="12"/>
      <c r="O507" s="14"/>
      <c r="P507" s="12"/>
      <c r="Q507" s="15"/>
      <c r="R507" s="15"/>
      <c r="S507" s="21"/>
      <c r="T507" s="12"/>
      <c r="U507" s="46"/>
      <c r="V507" s="23"/>
      <c r="W507" s="22" t="str">
        <f t="array" ref="W507">IF(A507="","",IFERROR(INDEX(PARAMETROS!$J$2:$J700,MATCH(H507,PARAMETROS!$E$2:$E700,0)),""))</f>
        <v/>
      </c>
      <c r="X507" s="23" t="str">
        <f t="shared" si="1"/>
        <v/>
      </c>
    </row>
    <row r="508" spans="1:24">
      <c r="A508" s="12"/>
      <c r="B508" s="12"/>
      <c r="C508" s="12"/>
      <c r="D508" s="12"/>
      <c r="E508" s="12"/>
      <c r="F508" s="12"/>
      <c r="G508" s="12"/>
      <c r="H508" s="12"/>
      <c r="I508" s="12"/>
      <c r="J508" s="14"/>
      <c r="K508" s="12"/>
      <c r="L508" s="14"/>
      <c r="M508" s="12"/>
      <c r="N508" s="12"/>
      <c r="O508" s="14"/>
      <c r="P508" s="12"/>
      <c r="Q508" s="15"/>
      <c r="R508" s="15"/>
      <c r="S508" s="21"/>
      <c r="T508" s="12"/>
      <c r="U508" s="46"/>
      <c r="V508" s="23"/>
      <c r="W508" s="22" t="str">
        <f t="array" ref="W508">IF(A508="","",IFERROR(INDEX(PARAMETROS!$J$2:$J700,MATCH(H508,PARAMETROS!$E$2:$E700,0)),""))</f>
        <v/>
      </c>
      <c r="X508" s="23" t="str">
        <f t="shared" si="1"/>
        <v/>
      </c>
    </row>
    <row r="509" spans="1:24">
      <c r="A509" s="12"/>
      <c r="B509" s="12"/>
      <c r="C509" s="12"/>
      <c r="D509" s="12"/>
      <c r="E509" s="12"/>
      <c r="F509" s="12"/>
      <c r="G509" s="12"/>
      <c r="H509" s="12"/>
      <c r="I509" s="12"/>
      <c r="J509" s="14"/>
      <c r="K509" s="12"/>
      <c r="L509" s="14"/>
      <c r="M509" s="12"/>
      <c r="N509" s="12"/>
      <c r="O509" s="14"/>
      <c r="P509" s="12"/>
      <c r="Q509" s="15"/>
      <c r="R509" s="15"/>
      <c r="S509" s="21"/>
      <c r="T509" s="12"/>
      <c r="U509" s="46"/>
      <c r="V509" s="23"/>
      <c r="W509" s="22" t="str">
        <f t="array" ref="W509">IF(A509="","",IFERROR(INDEX(PARAMETROS!$J$2:$J700,MATCH(H509,PARAMETROS!$E$2:$E700,0)),""))</f>
        <v/>
      </c>
      <c r="X509" s="23" t="str">
        <f t="shared" si="1"/>
        <v/>
      </c>
    </row>
    <row r="510" spans="1:24">
      <c r="A510" s="12"/>
      <c r="B510" s="12"/>
      <c r="C510" s="12"/>
      <c r="D510" s="12"/>
      <c r="E510" s="12"/>
      <c r="F510" s="12"/>
      <c r="G510" s="12"/>
      <c r="H510" s="12"/>
      <c r="I510" s="12"/>
      <c r="J510" s="14"/>
      <c r="K510" s="12"/>
      <c r="L510" s="14"/>
      <c r="M510" s="12"/>
      <c r="N510" s="12"/>
      <c r="O510" s="14"/>
      <c r="P510" s="12"/>
      <c r="Q510" s="15"/>
      <c r="R510" s="15"/>
      <c r="S510" s="21"/>
      <c r="T510" s="12"/>
      <c r="U510" s="46"/>
      <c r="V510" s="23"/>
      <c r="W510" s="22" t="str">
        <f t="array" ref="W510">IF(A510="","",IFERROR(INDEX(PARAMETROS!$J$2:$J700,MATCH(H510,PARAMETROS!$E$2:$E700,0)),""))</f>
        <v/>
      </c>
      <c r="X510" s="23" t="str">
        <f t="shared" si="1"/>
        <v/>
      </c>
    </row>
    <row r="511" spans="1:24">
      <c r="A511" s="12"/>
      <c r="B511" s="12"/>
      <c r="C511" s="12"/>
      <c r="D511" s="12"/>
      <c r="E511" s="12"/>
      <c r="F511" s="12"/>
      <c r="G511" s="12"/>
      <c r="H511" s="12"/>
      <c r="I511" s="12"/>
      <c r="J511" s="14"/>
      <c r="K511" s="12"/>
      <c r="L511" s="14"/>
      <c r="M511" s="12"/>
      <c r="N511" s="12"/>
      <c r="O511" s="14"/>
      <c r="P511" s="12"/>
      <c r="Q511" s="15"/>
      <c r="R511" s="15"/>
      <c r="S511" s="21"/>
      <c r="T511" s="12"/>
      <c r="U511" s="46"/>
      <c r="V511" s="23"/>
      <c r="W511" s="22" t="str">
        <f t="array" ref="W511">IF(A511="","",IFERROR(INDEX(PARAMETROS!$J$2:$J700,MATCH(H511,PARAMETROS!$E$2:$E700,0)),""))</f>
        <v/>
      </c>
      <c r="X511" s="23" t="str">
        <f t="shared" si="1"/>
        <v/>
      </c>
    </row>
    <row r="512" spans="1:24">
      <c r="A512" s="12"/>
      <c r="B512" s="12"/>
      <c r="C512" s="12"/>
      <c r="D512" s="12"/>
      <c r="E512" s="12"/>
      <c r="F512" s="12"/>
      <c r="G512" s="12"/>
      <c r="H512" s="12"/>
      <c r="I512" s="12"/>
      <c r="J512" s="14"/>
      <c r="K512" s="12"/>
      <c r="L512" s="14"/>
      <c r="M512" s="12"/>
      <c r="N512" s="12"/>
      <c r="O512" s="14"/>
      <c r="P512" s="12"/>
      <c r="Q512" s="15"/>
      <c r="R512" s="15"/>
      <c r="S512" s="21"/>
      <c r="T512" s="12"/>
      <c r="U512" s="46"/>
      <c r="V512" s="23"/>
      <c r="W512" s="22" t="str">
        <f t="array" ref="W512">IF(A512="","",IFERROR(INDEX(PARAMETROS!$J$2:$J700,MATCH(H512,PARAMETROS!$E$2:$E700,0)),""))</f>
        <v/>
      </c>
      <c r="X512" s="23" t="str">
        <f t="shared" ref="X512:X700" si="2">IF(A512="","",IF(T512=0,"",Q512/T512))</f>
        <v/>
      </c>
    </row>
    <row r="513" spans="1:24">
      <c r="A513" s="12"/>
      <c r="B513" s="12"/>
      <c r="C513" s="12"/>
      <c r="D513" s="12"/>
      <c r="E513" s="12"/>
      <c r="F513" s="12"/>
      <c r="G513" s="12"/>
      <c r="H513" s="12"/>
      <c r="I513" s="12"/>
      <c r="J513" s="14"/>
      <c r="K513" s="12"/>
      <c r="L513" s="14"/>
      <c r="M513" s="12"/>
      <c r="N513" s="12"/>
      <c r="O513" s="14"/>
      <c r="P513" s="12"/>
      <c r="Q513" s="15"/>
      <c r="R513" s="15"/>
      <c r="S513" s="21"/>
      <c r="T513" s="12"/>
      <c r="U513" s="46"/>
      <c r="V513" s="23"/>
      <c r="W513" s="22" t="str">
        <f t="array" ref="W513">IF(A513="","",IFERROR(INDEX(PARAMETROS!$J$2:$J700,MATCH(H513,PARAMETROS!$E$2:$E700,0)),""))</f>
        <v/>
      </c>
      <c r="X513" s="23" t="str">
        <f t="shared" si="2"/>
        <v/>
      </c>
    </row>
    <row r="514" spans="1:24">
      <c r="A514" s="12"/>
      <c r="B514" s="12"/>
      <c r="C514" s="12"/>
      <c r="D514" s="12"/>
      <c r="E514" s="12"/>
      <c r="F514" s="12"/>
      <c r="G514" s="12"/>
      <c r="H514" s="12"/>
      <c r="I514" s="12"/>
      <c r="J514" s="14"/>
      <c r="K514" s="12"/>
      <c r="L514" s="14"/>
      <c r="M514" s="12"/>
      <c r="N514" s="12"/>
      <c r="O514" s="14"/>
      <c r="P514" s="12"/>
      <c r="Q514" s="15"/>
      <c r="R514" s="15"/>
      <c r="S514" s="21"/>
      <c r="T514" s="12"/>
      <c r="U514" s="46"/>
      <c r="V514" s="23"/>
      <c r="W514" s="22" t="str">
        <f t="array" ref="W514">IF(A514="","",IFERROR(INDEX(PARAMETROS!$J$2:$J700,MATCH(H514,PARAMETROS!$E$2:$E700,0)),""))</f>
        <v/>
      </c>
      <c r="X514" s="23" t="str">
        <f t="shared" si="2"/>
        <v/>
      </c>
    </row>
    <row r="515" spans="1:24">
      <c r="A515" s="12"/>
      <c r="B515" s="12"/>
      <c r="C515" s="12"/>
      <c r="D515" s="12"/>
      <c r="E515" s="12"/>
      <c r="F515" s="12"/>
      <c r="G515" s="12"/>
      <c r="H515" s="12"/>
      <c r="I515" s="12"/>
      <c r="J515" s="14"/>
      <c r="K515" s="12"/>
      <c r="L515" s="14"/>
      <c r="M515" s="12"/>
      <c r="N515" s="12"/>
      <c r="O515" s="14"/>
      <c r="P515" s="12"/>
      <c r="Q515" s="15"/>
      <c r="R515" s="15"/>
      <c r="S515" s="21"/>
      <c r="T515" s="12"/>
      <c r="U515" s="46"/>
      <c r="V515" s="23"/>
      <c r="W515" s="22" t="str">
        <f t="array" ref="W515">IF(A515="","",IFERROR(INDEX(PARAMETROS!$J$2:$J700,MATCH(H515,PARAMETROS!$E$2:$E700,0)),""))</f>
        <v/>
      </c>
      <c r="X515" s="23" t="str">
        <f t="shared" si="2"/>
        <v/>
      </c>
    </row>
    <row r="516" spans="1:24">
      <c r="A516" s="12"/>
      <c r="B516" s="12"/>
      <c r="C516" s="12"/>
      <c r="D516" s="12"/>
      <c r="E516" s="12"/>
      <c r="F516" s="12"/>
      <c r="G516" s="12"/>
      <c r="H516" s="12"/>
      <c r="I516" s="12"/>
      <c r="J516" s="14"/>
      <c r="K516" s="12"/>
      <c r="L516" s="14"/>
      <c r="M516" s="12"/>
      <c r="N516" s="12"/>
      <c r="O516" s="14"/>
      <c r="P516" s="12"/>
      <c r="Q516" s="15"/>
      <c r="R516" s="15"/>
      <c r="S516" s="21"/>
      <c r="T516" s="12"/>
      <c r="U516" s="46"/>
      <c r="V516" s="23"/>
      <c r="W516" s="22" t="str">
        <f t="array" ref="W516">IF(A516="","",IFERROR(INDEX(PARAMETROS!$J$2:$J700,MATCH(H516,PARAMETROS!$E$2:$E700,0)),""))</f>
        <v/>
      </c>
      <c r="X516" s="23" t="str">
        <f t="shared" si="2"/>
        <v/>
      </c>
    </row>
    <row r="517" spans="1:24">
      <c r="A517" s="12"/>
      <c r="B517" s="12"/>
      <c r="C517" s="12"/>
      <c r="D517" s="12"/>
      <c r="E517" s="12"/>
      <c r="F517" s="12"/>
      <c r="G517" s="12"/>
      <c r="H517" s="12"/>
      <c r="I517" s="12"/>
      <c r="J517" s="14"/>
      <c r="K517" s="12"/>
      <c r="L517" s="14"/>
      <c r="M517" s="12"/>
      <c r="N517" s="12"/>
      <c r="O517" s="14"/>
      <c r="P517" s="12"/>
      <c r="Q517" s="15"/>
      <c r="R517" s="15"/>
      <c r="S517" s="21"/>
      <c r="T517" s="12"/>
      <c r="U517" s="46"/>
      <c r="V517" s="23"/>
      <c r="W517" s="22" t="str">
        <f t="array" ref="W517">IF(A517="","",IFERROR(INDEX(PARAMETROS!$J$2:$J700,MATCH(H517,PARAMETROS!$E$2:$E700,0)),""))</f>
        <v/>
      </c>
      <c r="X517" s="23" t="str">
        <f t="shared" si="2"/>
        <v/>
      </c>
    </row>
    <row r="518" spans="1:24">
      <c r="A518" s="12"/>
      <c r="B518" s="12"/>
      <c r="C518" s="12"/>
      <c r="D518" s="12"/>
      <c r="E518" s="12"/>
      <c r="F518" s="12"/>
      <c r="G518" s="12"/>
      <c r="H518" s="12"/>
      <c r="I518" s="12"/>
      <c r="J518" s="14"/>
      <c r="K518" s="12"/>
      <c r="L518" s="14"/>
      <c r="M518" s="12"/>
      <c r="N518" s="12"/>
      <c r="O518" s="14"/>
      <c r="P518" s="12"/>
      <c r="Q518" s="15"/>
      <c r="R518" s="15"/>
      <c r="S518" s="21"/>
      <c r="T518" s="12"/>
      <c r="U518" s="46"/>
      <c r="V518" s="23"/>
      <c r="W518" s="22" t="str">
        <f t="array" ref="W518">IF(A518="","",IFERROR(INDEX(PARAMETROS!$J$2:$J700,MATCH(H518,PARAMETROS!$E$2:$E700,0)),""))</f>
        <v/>
      </c>
      <c r="X518" s="23" t="str">
        <f t="shared" si="2"/>
        <v/>
      </c>
    </row>
    <row r="519" spans="1:24">
      <c r="A519" s="12"/>
      <c r="B519" s="12"/>
      <c r="C519" s="12"/>
      <c r="D519" s="12"/>
      <c r="E519" s="12"/>
      <c r="F519" s="12"/>
      <c r="G519" s="12"/>
      <c r="H519" s="12"/>
      <c r="I519" s="12"/>
      <c r="J519" s="14"/>
      <c r="K519" s="12"/>
      <c r="L519" s="14"/>
      <c r="M519" s="12"/>
      <c r="N519" s="12"/>
      <c r="O519" s="14"/>
      <c r="P519" s="12"/>
      <c r="Q519" s="15"/>
      <c r="R519" s="15"/>
      <c r="S519" s="21"/>
      <c r="T519" s="12"/>
      <c r="U519" s="46"/>
      <c r="V519" s="23"/>
      <c r="W519" s="22" t="str">
        <f t="array" ref="W519">IF(A519="","",IFERROR(INDEX(PARAMETROS!$J$2:$J700,MATCH(H519,PARAMETROS!$E$2:$E700,0)),""))</f>
        <v/>
      </c>
      <c r="X519" s="23" t="str">
        <f t="shared" si="2"/>
        <v/>
      </c>
    </row>
    <row r="520" spans="1:24">
      <c r="A520" s="12"/>
      <c r="B520" s="12"/>
      <c r="C520" s="12"/>
      <c r="D520" s="12"/>
      <c r="E520" s="12"/>
      <c r="F520" s="12"/>
      <c r="G520" s="12"/>
      <c r="H520" s="12"/>
      <c r="I520" s="12"/>
      <c r="J520" s="14"/>
      <c r="K520" s="12"/>
      <c r="L520" s="14"/>
      <c r="M520" s="12"/>
      <c r="N520" s="12"/>
      <c r="O520" s="14"/>
      <c r="P520" s="12"/>
      <c r="Q520" s="15"/>
      <c r="R520" s="15"/>
      <c r="S520" s="21"/>
      <c r="T520" s="12"/>
      <c r="U520" s="46"/>
      <c r="V520" s="23"/>
      <c r="W520" s="22" t="str">
        <f t="array" ref="W520">IF(A520="","",IFERROR(INDEX(PARAMETROS!$J$2:$J700,MATCH(H520,PARAMETROS!$E$2:$E700,0)),""))</f>
        <v/>
      </c>
      <c r="X520" s="23" t="str">
        <f t="shared" si="2"/>
        <v/>
      </c>
    </row>
    <row r="521" spans="1:24">
      <c r="A521" s="12"/>
      <c r="B521" s="12"/>
      <c r="C521" s="12"/>
      <c r="D521" s="12"/>
      <c r="E521" s="12"/>
      <c r="F521" s="12"/>
      <c r="G521" s="12"/>
      <c r="H521" s="12"/>
      <c r="I521" s="12"/>
      <c r="J521" s="14"/>
      <c r="K521" s="12"/>
      <c r="L521" s="14"/>
      <c r="M521" s="12"/>
      <c r="N521" s="12"/>
      <c r="O521" s="14"/>
      <c r="P521" s="12"/>
      <c r="Q521" s="15"/>
      <c r="R521" s="15"/>
      <c r="S521" s="21"/>
      <c r="T521" s="12"/>
      <c r="U521" s="46"/>
      <c r="V521" s="23"/>
      <c r="W521" s="22" t="str">
        <f t="array" ref="W521">IF(A521="","",IFERROR(INDEX(PARAMETROS!$J$2:$J700,MATCH(H521,PARAMETROS!$E$2:$E700,0)),""))</f>
        <v/>
      </c>
      <c r="X521" s="23" t="str">
        <f t="shared" si="2"/>
        <v/>
      </c>
    </row>
    <row r="522" spans="1:24">
      <c r="A522" s="12"/>
      <c r="B522" s="12"/>
      <c r="C522" s="12"/>
      <c r="D522" s="12"/>
      <c r="E522" s="12"/>
      <c r="F522" s="12"/>
      <c r="G522" s="12"/>
      <c r="H522" s="12"/>
      <c r="I522" s="12"/>
      <c r="J522" s="14"/>
      <c r="K522" s="12"/>
      <c r="L522" s="14"/>
      <c r="M522" s="12"/>
      <c r="N522" s="12"/>
      <c r="O522" s="14"/>
      <c r="P522" s="12"/>
      <c r="Q522" s="15"/>
      <c r="R522" s="15"/>
      <c r="S522" s="21"/>
      <c r="T522" s="12"/>
      <c r="U522" s="46"/>
      <c r="V522" s="23"/>
      <c r="W522" s="22" t="str">
        <f t="array" ref="W522">IF(A522="","",IFERROR(INDEX(PARAMETROS!$J$2:$J700,MATCH(H522,PARAMETROS!$E$2:$E700,0)),""))</f>
        <v/>
      </c>
      <c r="X522" s="23" t="str">
        <f t="shared" si="2"/>
        <v/>
      </c>
    </row>
    <row r="523" spans="1:24">
      <c r="A523" s="12"/>
      <c r="B523" s="12"/>
      <c r="C523" s="12"/>
      <c r="D523" s="12"/>
      <c r="E523" s="12"/>
      <c r="F523" s="12"/>
      <c r="G523" s="12"/>
      <c r="H523" s="12"/>
      <c r="I523" s="12"/>
      <c r="J523" s="14"/>
      <c r="K523" s="12"/>
      <c r="L523" s="14"/>
      <c r="M523" s="12"/>
      <c r="N523" s="12"/>
      <c r="O523" s="14"/>
      <c r="P523" s="12"/>
      <c r="Q523" s="15"/>
      <c r="R523" s="15"/>
      <c r="S523" s="21"/>
      <c r="T523" s="12"/>
      <c r="U523" s="46"/>
      <c r="V523" s="23"/>
      <c r="W523" s="22" t="str">
        <f t="array" ref="W523">IF(A523="","",IFERROR(INDEX(PARAMETROS!$J$2:$J700,MATCH(H523,PARAMETROS!$E$2:$E700,0)),""))</f>
        <v/>
      </c>
      <c r="X523" s="23" t="str">
        <f t="shared" si="2"/>
        <v/>
      </c>
    </row>
    <row r="524" spans="1:24">
      <c r="A524" s="12"/>
      <c r="B524" s="12"/>
      <c r="C524" s="12"/>
      <c r="D524" s="12"/>
      <c r="E524" s="12"/>
      <c r="F524" s="12"/>
      <c r="G524" s="12"/>
      <c r="H524" s="12"/>
      <c r="I524" s="12"/>
      <c r="J524" s="14"/>
      <c r="K524" s="12"/>
      <c r="L524" s="14"/>
      <c r="M524" s="12"/>
      <c r="N524" s="12"/>
      <c r="O524" s="14"/>
      <c r="P524" s="12"/>
      <c r="Q524" s="15"/>
      <c r="R524" s="15"/>
      <c r="S524" s="21"/>
      <c r="T524" s="12"/>
      <c r="U524" s="46"/>
      <c r="V524" s="23"/>
      <c r="W524" s="22" t="str">
        <f t="array" ref="W524">IF(A524="","",IFERROR(INDEX(PARAMETROS!$J$2:$J700,MATCH(H524,PARAMETROS!$E$2:$E700,0)),""))</f>
        <v/>
      </c>
      <c r="X524" s="23" t="str">
        <f t="shared" si="2"/>
        <v/>
      </c>
    </row>
    <row r="525" spans="1:24">
      <c r="A525" s="12"/>
      <c r="B525" s="12"/>
      <c r="C525" s="12"/>
      <c r="D525" s="12"/>
      <c r="E525" s="12"/>
      <c r="F525" s="12"/>
      <c r="G525" s="12"/>
      <c r="H525" s="12"/>
      <c r="I525" s="12"/>
      <c r="J525" s="14"/>
      <c r="K525" s="12"/>
      <c r="L525" s="14"/>
      <c r="M525" s="12"/>
      <c r="N525" s="12"/>
      <c r="O525" s="14"/>
      <c r="P525" s="12"/>
      <c r="Q525" s="15"/>
      <c r="R525" s="15"/>
      <c r="S525" s="21"/>
      <c r="T525" s="12"/>
      <c r="U525" s="46"/>
      <c r="V525" s="23"/>
      <c r="W525" s="22" t="str">
        <f t="array" ref="W525">IF(A525="","",IFERROR(INDEX(PARAMETROS!$J$2:$J700,MATCH(H525,PARAMETROS!$E$2:$E700,0)),""))</f>
        <v/>
      </c>
      <c r="X525" s="23" t="str">
        <f t="shared" si="2"/>
        <v/>
      </c>
    </row>
    <row r="526" spans="1:24">
      <c r="A526" s="12"/>
      <c r="B526" s="12"/>
      <c r="C526" s="12"/>
      <c r="D526" s="12"/>
      <c r="E526" s="12"/>
      <c r="F526" s="12"/>
      <c r="G526" s="12"/>
      <c r="H526" s="12"/>
      <c r="I526" s="12"/>
      <c r="J526" s="14"/>
      <c r="K526" s="12"/>
      <c r="L526" s="14"/>
      <c r="M526" s="12"/>
      <c r="N526" s="12"/>
      <c r="O526" s="14"/>
      <c r="P526" s="12"/>
      <c r="Q526" s="15"/>
      <c r="R526" s="15"/>
      <c r="S526" s="21"/>
      <c r="T526" s="12"/>
      <c r="U526" s="46"/>
      <c r="V526" s="23"/>
      <c r="W526" s="22" t="str">
        <f t="array" ref="W526">IF(A526="","",IFERROR(INDEX(PARAMETROS!$J$2:$J700,MATCH(H526,PARAMETROS!$E$2:$E700,0)),""))</f>
        <v/>
      </c>
      <c r="X526" s="23" t="str">
        <f t="shared" si="2"/>
        <v/>
      </c>
    </row>
    <row r="527" spans="1:24">
      <c r="A527" s="12"/>
      <c r="B527" s="12"/>
      <c r="C527" s="12"/>
      <c r="D527" s="12"/>
      <c r="E527" s="12"/>
      <c r="F527" s="12"/>
      <c r="G527" s="12"/>
      <c r="H527" s="12"/>
      <c r="I527" s="12"/>
      <c r="J527" s="14"/>
      <c r="K527" s="12"/>
      <c r="L527" s="14"/>
      <c r="M527" s="12"/>
      <c r="N527" s="12"/>
      <c r="O527" s="14"/>
      <c r="P527" s="12"/>
      <c r="Q527" s="15"/>
      <c r="R527" s="15"/>
      <c r="S527" s="21"/>
      <c r="T527" s="12"/>
      <c r="U527" s="46"/>
      <c r="V527" s="23"/>
      <c r="W527" s="22" t="str">
        <f t="array" ref="W527">IF(A527="","",IFERROR(INDEX(PARAMETROS!$J$2:$J700,MATCH(H527,PARAMETROS!$E$2:$E700,0)),""))</f>
        <v/>
      </c>
      <c r="X527" s="23" t="str">
        <f t="shared" si="2"/>
        <v/>
      </c>
    </row>
    <row r="528" spans="1:24">
      <c r="A528" s="12"/>
      <c r="B528" s="12"/>
      <c r="C528" s="12"/>
      <c r="D528" s="12"/>
      <c r="E528" s="12"/>
      <c r="F528" s="12"/>
      <c r="G528" s="12"/>
      <c r="H528" s="12"/>
      <c r="I528" s="12"/>
      <c r="J528" s="14"/>
      <c r="K528" s="12"/>
      <c r="L528" s="14"/>
      <c r="M528" s="12"/>
      <c r="N528" s="12"/>
      <c r="O528" s="14"/>
      <c r="P528" s="12"/>
      <c r="Q528" s="15"/>
      <c r="R528" s="15"/>
      <c r="S528" s="21"/>
      <c r="T528" s="12"/>
      <c r="U528" s="46"/>
      <c r="V528" s="23"/>
      <c r="W528" s="22" t="str">
        <f t="array" ref="W528">IF(A528="","",IFERROR(INDEX(PARAMETROS!$J$2:$J700,MATCH(H528,PARAMETROS!$E$2:$E700,0)),""))</f>
        <v/>
      </c>
      <c r="X528" s="23" t="str">
        <f t="shared" si="2"/>
        <v/>
      </c>
    </row>
    <row r="529" spans="1:24">
      <c r="A529" s="12"/>
      <c r="B529" s="12"/>
      <c r="C529" s="12"/>
      <c r="D529" s="12"/>
      <c r="E529" s="12"/>
      <c r="F529" s="12"/>
      <c r="G529" s="12"/>
      <c r="H529" s="12"/>
      <c r="I529" s="12"/>
      <c r="J529" s="14"/>
      <c r="K529" s="12"/>
      <c r="L529" s="14"/>
      <c r="M529" s="12"/>
      <c r="N529" s="12"/>
      <c r="O529" s="14"/>
      <c r="P529" s="12"/>
      <c r="Q529" s="15"/>
      <c r="R529" s="15"/>
      <c r="S529" s="21"/>
      <c r="T529" s="12"/>
      <c r="U529" s="46"/>
      <c r="V529" s="23"/>
      <c r="W529" s="22" t="str">
        <f t="array" ref="W529">IF(A529="","",IFERROR(INDEX(PARAMETROS!$J$2:$J700,MATCH(H529,PARAMETROS!$E$2:$E700,0)),""))</f>
        <v/>
      </c>
      <c r="X529" s="23" t="str">
        <f t="shared" si="2"/>
        <v/>
      </c>
    </row>
    <row r="530" spans="1:24">
      <c r="A530" s="12"/>
      <c r="B530" s="12"/>
      <c r="C530" s="12"/>
      <c r="D530" s="12"/>
      <c r="E530" s="12"/>
      <c r="F530" s="12"/>
      <c r="G530" s="12"/>
      <c r="H530" s="12"/>
      <c r="I530" s="12"/>
      <c r="J530" s="14"/>
      <c r="K530" s="12"/>
      <c r="L530" s="14"/>
      <c r="M530" s="12"/>
      <c r="N530" s="12"/>
      <c r="O530" s="14"/>
      <c r="P530" s="12"/>
      <c r="Q530" s="15"/>
      <c r="R530" s="15"/>
      <c r="S530" s="21"/>
      <c r="T530" s="12"/>
      <c r="U530" s="46"/>
      <c r="V530" s="23"/>
      <c r="W530" s="22" t="str">
        <f t="array" ref="W530">IF(A530="","",IFERROR(INDEX(PARAMETROS!$J$2:$J700,MATCH(H530,PARAMETROS!$E$2:$E700,0)),""))</f>
        <v/>
      </c>
      <c r="X530" s="23" t="str">
        <f t="shared" si="2"/>
        <v/>
      </c>
    </row>
    <row r="531" spans="1:24">
      <c r="A531" s="12"/>
      <c r="B531" s="12"/>
      <c r="C531" s="12"/>
      <c r="D531" s="12"/>
      <c r="E531" s="12"/>
      <c r="F531" s="12"/>
      <c r="G531" s="12"/>
      <c r="H531" s="12"/>
      <c r="I531" s="12"/>
      <c r="J531" s="14"/>
      <c r="K531" s="12"/>
      <c r="L531" s="14"/>
      <c r="M531" s="12"/>
      <c r="N531" s="12"/>
      <c r="O531" s="14"/>
      <c r="P531" s="12"/>
      <c r="Q531" s="15"/>
      <c r="R531" s="15"/>
      <c r="S531" s="21"/>
      <c r="T531" s="12"/>
      <c r="U531" s="46"/>
      <c r="V531" s="23"/>
      <c r="W531" s="22" t="str">
        <f t="array" ref="W531">IF(A531="","",IFERROR(INDEX(PARAMETROS!$J$2:$J700,MATCH(H531,PARAMETROS!$E$2:$E700,0)),""))</f>
        <v/>
      </c>
      <c r="X531" s="23" t="str">
        <f t="shared" si="2"/>
        <v/>
      </c>
    </row>
    <row r="532" spans="1:24">
      <c r="A532" s="12"/>
      <c r="B532" s="12"/>
      <c r="C532" s="12"/>
      <c r="D532" s="12"/>
      <c r="E532" s="12"/>
      <c r="F532" s="12"/>
      <c r="G532" s="12"/>
      <c r="H532" s="12"/>
      <c r="I532" s="12"/>
      <c r="J532" s="14"/>
      <c r="K532" s="12"/>
      <c r="L532" s="14"/>
      <c r="M532" s="12"/>
      <c r="N532" s="12"/>
      <c r="O532" s="14"/>
      <c r="P532" s="12"/>
      <c r="Q532" s="15"/>
      <c r="R532" s="15"/>
      <c r="S532" s="21"/>
      <c r="T532" s="12"/>
      <c r="U532" s="46"/>
      <c r="V532" s="23"/>
      <c r="W532" s="22" t="str">
        <f t="array" ref="W532">IF(A532="","",IFERROR(INDEX(PARAMETROS!$J$2:$J700,MATCH(H532,PARAMETROS!$E$2:$E700,0)),""))</f>
        <v/>
      </c>
      <c r="X532" s="23" t="str">
        <f t="shared" si="2"/>
        <v/>
      </c>
    </row>
    <row r="533" spans="1:24">
      <c r="A533" s="12"/>
      <c r="B533" s="12"/>
      <c r="C533" s="12"/>
      <c r="D533" s="12"/>
      <c r="E533" s="12"/>
      <c r="F533" s="12"/>
      <c r="G533" s="12"/>
      <c r="H533" s="12"/>
      <c r="I533" s="12"/>
      <c r="J533" s="14"/>
      <c r="K533" s="12"/>
      <c r="L533" s="14"/>
      <c r="M533" s="12"/>
      <c r="N533" s="12"/>
      <c r="O533" s="14"/>
      <c r="P533" s="12"/>
      <c r="Q533" s="15"/>
      <c r="R533" s="15"/>
      <c r="S533" s="21"/>
      <c r="T533" s="12"/>
      <c r="U533" s="46"/>
      <c r="V533" s="23"/>
      <c r="W533" s="22" t="str">
        <f t="array" ref="W533">IF(A533="","",IFERROR(INDEX(PARAMETROS!$J$2:$J700,MATCH(H533,PARAMETROS!$E$2:$E700,0)),""))</f>
        <v/>
      </c>
      <c r="X533" s="23" t="str">
        <f t="shared" si="2"/>
        <v/>
      </c>
    </row>
    <row r="534" spans="1:24">
      <c r="A534" s="12"/>
      <c r="B534" s="12"/>
      <c r="C534" s="12"/>
      <c r="D534" s="12"/>
      <c r="E534" s="12"/>
      <c r="F534" s="12"/>
      <c r="G534" s="12"/>
      <c r="H534" s="12"/>
      <c r="I534" s="12"/>
      <c r="J534" s="14"/>
      <c r="K534" s="12"/>
      <c r="L534" s="14"/>
      <c r="M534" s="12"/>
      <c r="N534" s="12"/>
      <c r="O534" s="14"/>
      <c r="P534" s="12"/>
      <c r="Q534" s="15"/>
      <c r="R534" s="15"/>
      <c r="S534" s="21"/>
      <c r="T534" s="12"/>
      <c r="U534" s="46"/>
      <c r="V534" s="23"/>
      <c r="W534" s="22" t="str">
        <f t="array" ref="W534">IF(A534="","",IFERROR(INDEX(PARAMETROS!$J$2:$J700,MATCH(H534,PARAMETROS!$E$2:$E700,0)),""))</f>
        <v/>
      </c>
      <c r="X534" s="23" t="str">
        <f t="shared" si="2"/>
        <v/>
      </c>
    </row>
    <row r="535" spans="1:24">
      <c r="A535" s="12"/>
      <c r="B535" s="12"/>
      <c r="C535" s="12"/>
      <c r="D535" s="12"/>
      <c r="E535" s="12"/>
      <c r="F535" s="12"/>
      <c r="G535" s="12"/>
      <c r="H535" s="12"/>
      <c r="I535" s="12"/>
      <c r="J535" s="14"/>
      <c r="K535" s="12"/>
      <c r="L535" s="14"/>
      <c r="M535" s="12"/>
      <c r="N535" s="12"/>
      <c r="O535" s="14"/>
      <c r="P535" s="12"/>
      <c r="Q535" s="15"/>
      <c r="R535" s="15"/>
      <c r="S535" s="21"/>
      <c r="T535" s="12"/>
      <c r="U535" s="46"/>
      <c r="V535" s="23"/>
      <c r="W535" s="22" t="str">
        <f t="array" ref="W535">IF(A535="","",IFERROR(INDEX(PARAMETROS!$J$2:$J700,MATCH(H535,PARAMETROS!$E$2:$E700,0)),""))</f>
        <v/>
      </c>
      <c r="X535" s="23" t="str">
        <f t="shared" si="2"/>
        <v/>
      </c>
    </row>
    <row r="536" spans="1:24">
      <c r="A536" s="12"/>
      <c r="B536" s="12"/>
      <c r="C536" s="12"/>
      <c r="D536" s="12"/>
      <c r="E536" s="12"/>
      <c r="F536" s="12"/>
      <c r="G536" s="12"/>
      <c r="H536" s="12"/>
      <c r="I536" s="12"/>
      <c r="J536" s="14"/>
      <c r="K536" s="12"/>
      <c r="L536" s="14"/>
      <c r="M536" s="12"/>
      <c r="N536" s="12"/>
      <c r="O536" s="14"/>
      <c r="P536" s="12"/>
      <c r="Q536" s="15"/>
      <c r="R536" s="15"/>
      <c r="S536" s="21"/>
      <c r="T536" s="12"/>
      <c r="U536" s="46"/>
      <c r="V536" s="23"/>
      <c r="W536" s="22" t="str">
        <f t="array" ref="W536">IF(A536="","",IFERROR(INDEX(PARAMETROS!$J$2:$J700,MATCH(H536,PARAMETROS!$E$2:$E700,0)),""))</f>
        <v/>
      </c>
      <c r="X536" s="23" t="str">
        <f t="shared" si="2"/>
        <v/>
      </c>
    </row>
    <row r="537" spans="1:24">
      <c r="A537" s="12"/>
      <c r="B537" s="12"/>
      <c r="C537" s="12"/>
      <c r="D537" s="12"/>
      <c r="E537" s="12"/>
      <c r="F537" s="12"/>
      <c r="G537" s="12"/>
      <c r="H537" s="12"/>
      <c r="I537" s="12"/>
      <c r="J537" s="14"/>
      <c r="K537" s="12"/>
      <c r="L537" s="14"/>
      <c r="M537" s="12"/>
      <c r="N537" s="12"/>
      <c r="O537" s="14"/>
      <c r="P537" s="12"/>
      <c r="Q537" s="15"/>
      <c r="R537" s="15"/>
      <c r="S537" s="21"/>
      <c r="T537" s="12"/>
      <c r="U537" s="46"/>
      <c r="V537" s="23"/>
      <c r="W537" s="22" t="str">
        <f t="array" ref="W537">IF(A537="","",IFERROR(INDEX(PARAMETROS!$J$2:$J700,MATCH(H537,PARAMETROS!$E$2:$E700,0)),""))</f>
        <v/>
      </c>
      <c r="X537" s="23" t="str">
        <f t="shared" si="2"/>
        <v/>
      </c>
    </row>
    <row r="538" spans="1:24">
      <c r="A538" s="12"/>
      <c r="B538" s="12"/>
      <c r="C538" s="12"/>
      <c r="D538" s="12"/>
      <c r="E538" s="12"/>
      <c r="F538" s="12"/>
      <c r="G538" s="12"/>
      <c r="H538" s="12"/>
      <c r="I538" s="12"/>
      <c r="J538" s="14"/>
      <c r="K538" s="12"/>
      <c r="L538" s="14"/>
      <c r="M538" s="12"/>
      <c r="N538" s="12"/>
      <c r="O538" s="14"/>
      <c r="P538" s="12"/>
      <c r="Q538" s="15"/>
      <c r="R538" s="15"/>
      <c r="S538" s="21"/>
      <c r="T538" s="12"/>
      <c r="U538" s="46"/>
      <c r="V538" s="23"/>
      <c r="W538" s="22" t="str">
        <f t="array" ref="W538">IF(A538="","",IFERROR(INDEX(PARAMETROS!$J$2:$J700,MATCH(H538,PARAMETROS!$E$2:$E700,0)),""))</f>
        <v/>
      </c>
      <c r="X538" s="23" t="str">
        <f t="shared" si="2"/>
        <v/>
      </c>
    </row>
    <row r="539" spans="1:24">
      <c r="A539" s="12"/>
      <c r="B539" s="12"/>
      <c r="C539" s="12"/>
      <c r="D539" s="12"/>
      <c r="E539" s="12"/>
      <c r="F539" s="12"/>
      <c r="G539" s="12"/>
      <c r="H539" s="12"/>
      <c r="I539" s="12"/>
      <c r="J539" s="14"/>
      <c r="K539" s="12"/>
      <c r="L539" s="14"/>
      <c r="M539" s="12"/>
      <c r="N539" s="12"/>
      <c r="O539" s="14"/>
      <c r="P539" s="12"/>
      <c r="Q539" s="15"/>
      <c r="R539" s="15"/>
      <c r="S539" s="21"/>
      <c r="T539" s="12"/>
      <c r="U539" s="46"/>
      <c r="V539" s="23"/>
      <c r="W539" s="22" t="str">
        <f t="array" ref="W539">IF(A539="","",IFERROR(INDEX(PARAMETROS!$J$2:$J700,MATCH(H539,PARAMETROS!$E$2:$E700,0)),""))</f>
        <v/>
      </c>
      <c r="X539" s="23" t="str">
        <f t="shared" si="2"/>
        <v/>
      </c>
    </row>
    <row r="540" spans="1:24">
      <c r="A540" s="12"/>
      <c r="B540" s="12"/>
      <c r="C540" s="12"/>
      <c r="D540" s="12"/>
      <c r="E540" s="12"/>
      <c r="F540" s="12"/>
      <c r="G540" s="12"/>
      <c r="H540" s="12"/>
      <c r="I540" s="12"/>
      <c r="J540" s="14"/>
      <c r="K540" s="12"/>
      <c r="L540" s="14"/>
      <c r="M540" s="12"/>
      <c r="N540" s="12"/>
      <c r="O540" s="14"/>
      <c r="P540" s="12"/>
      <c r="Q540" s="15"/>
      <c r="R540" s="15"/>
      <c r="S540" s="21"/>
      <c r="T540" s="12"/>
      <c r="U540" s="46"/>
      <c r="V540" s="23"/>
      <c r="W540" s="22" t="str">
        <f t="array" ref="W540">IF(A540="","",IFERROR(INDEX(PARAMETROS!$J$2:$J700,MATCH(H540,PARAMETROS!$E$2:$E700,0)),""))</f>
        <v/>
      </c>
      <c r="X540" s="23" t="str">
        <f t="shared" si="2"/>
        <v/>
      </c>
    </row>
    <row r="541" spans="1:24">
      <c r="A541" s="12"/>
      <c r="B541" s="12"/>
      <c r="C541" s="12"/>
      <c r="D541" s="12"/>
      <c r="E541" s="12"/>
      <c r="F541" s="12"/>
      <c r="G541" s="12"/>
      <c r="H541" s="12"/>
      <c r="I541" s="12"/>
      <c r="J541" s="14"/>
      <c r="K541" s="12"/>
      <c r="L541" s="14"/>
      <c r="M541" s="12"/>
      <c r="N541" s="12"/>
      <c r="O541" s="14"/>
      <c r="P541" s="12"/>
      <c r="Q541" s="15"/>
      <c r="R541" s="15"/>
      <c r="S541" s="21"/>
      <c r="T541" s="12"/>
      <c r="U541" s="46"/>
      <c r="V541" s="23"/>
      <c r="W541" s="22" t="str">
        <f t="array" ref="W541">IF(A541="","",IFERROR(INDEX(PARAMETROS!$J$2:$J700,MATCH(H541,PARAMETROS!$E$2:$E700,0)),""))</f>
        <v/>
      </c>
      <c r="X541" s="23" t="str">
        <f t="shared" si="2"/>
        <v/>
      </c>
    </row>
    <row r="542" spans="1:24">
      <c r="A542" s="12"/>
      <c r="B542" s="12"/>
      <c r="C542" s="12"/>
      <c r="D542" s="12"/>
      <c r="E542" s="12"/>
      <c r="F542" s="12"/>
      <c r="G542" s="12"/>
      <c r="H542" s="12"/>
      <c r="I542" s="12"/>
      <c r="J542" s="14"/>
      <c r="K542" s="12"/>
      <c r="L542" s="14"/>
      <c r="M542" s="12"/>
      <c r="N542" s="12"/>
      <c r="O542" s="14"/>
      <c r="P542" s="12"/>
      <c r="Q542" s="15"/>
      <c r="R542" s="15"/>
      <c r="S542" s="21"/>
      <c r="T542" s="12"/>
      <c r="U542" s="46"/>
      <c r="V542" s="23"/>
      <c r="W542" s="22" t="str">
        <f t="array" ref="W542">IF(A542="","",IFERROR(INDEX(PARAMETROS!$J$2:$J700,MATCH(H542,PARAMETROS!$E$2:$E700,0)),""))</f>
        <v/>
      </c>
      <c r="X542" s="23" t="str">
        <f t="shared" si="2"/>
        <v/>
      </c>
    </row>
    <row r="543" spans="1:24">
      <c r="A543" s="12"/>
      <c r="B543" s="12"/>
      <c r="C543" s="12"/>
      <c r="D543" s="12"/>
      <c r="E543" s="12"/>
      <c r="F543" s="12"/>
      <c r="G543" s="12"/>
      <c r="H543" s="12"/>
      <c r="I543" s="12"/>
      <c r="J543" s="14"/>
      <c r="K543" s="12"/>
      <c r="L543" s="14"/>
      <c r="M543" s="12"/>
      <c r="N543" s="12"/>
      <c r="O543" s="14"/>
      <c r="P543" s="12"/>
      <c r="Q543" s="15"/>
      <c r="R543" s="15"/>
      <c r="S543" s="21"/>
      <c r="T543" s="12"/>
      <c r="U543" s="46"/>
      <c r="V543" s="23"/>
      <c r="W543" s="22" t="str">
        <f t="array" ref="W543">IF(A543="","",IFERROR(INDEX(PARAMETROS!$J$2:$J700,MATCH(H543,PARAMETROS!$E$2:$E700,0)),""))</f>
        <v/>
      </c>
      <c r="X543" s="23" t="str">
        <f t="shared" si="2"/>
        <v/>
      </c>
    </row>
    <row r="544" spans="1:24">
      <c r="A544" s="12"/>
      <c r="B544" s="12"/>
      <c r="C544" s="12"/>
      <c r="D544" s="12"/>
      <c r="E544" s="12"/>
      <c r="F544" s="12"/>
      <c r="G544" s="12"/>
      <c r="H544" s="12"/>
      <c r="I544" s="12"/>
      <c r="J544" s="14"/>
      <c r="K544" s="12"/>
      <c r="L544" s="14"/>
      <c r="M544" s="12"/>
      <c r="N544" s="12"/>
      <c r="O544" s="14"/>
      <c r="P544" s="12"/>
      <c r="Q544" s="15"/>
      <c r="R544" s="15"/>
      <c r="S544" s="21"/>
      <c r="T544" s="12"/>
      <c r="U544" s="46"/>
      <c r="V544" s="23"/>
      <c r="W544" s="22" t="str">
        <f t="array" ref="W544">IF(A544="","",IFERROR(INDEX(PARAMETROS!$J$2:$J700,MATCH(H544,PARAMETROS!$E$2:$E700,0)),""))</f>
        <v/>
      </c>
      <c r="X544" s="23" t="str">
        <f t="shared" si="2"/>
        <v/>
      </c>
    </row>
    <row r="545" spans="1:24">
      <c r="A545" s="12"/>
      <c r="B545" s="12"/>
      <c r="C545" s="12"/>
      <c r="D545" s="12"/>
      <c r="E545" s="12"/>
      <c r="F545" s="12"/>
      <c r="G545" s="12"/>
      <c r="H545" s="12"/>
      <c r="I545" s="12"/>
      <c r="J545" s="14"/>
      <c r="K545" s="12"/>
      <c r="L545" s="14"/>
      <c r="M545" s="12"/>
      <c r="N545" s="12"/>
      <c r="O545" s="14"/>
      <c r="P545" s="12"/>
      <c r="Q545" s="15"/>
      <c r="R545" s="15"/>
      <c r="S545" s="21"/>
      <c r="T545" s="12"/>
      <c r="U545" s="46"/>
      <c r="V545" s="23"/>
      <c r="W545" s="22" t="str">
        <f t="array" ref="W545">IF(A545="","",IFERROR(INDEX(PARAMETROS!$J$2:$J700,MATCH(H545,PARAMETROS!$E$2:$E700,0)),""))</f>
        <v/>
      </c>
      <c r="X545" s="23" t="str">
        <f t="shared" si="2"/>
        <v/>
      </c>
    </row>
    <row r="546" spans="1:24">
      <c r="A546" s="12"/>
      <c r="B546" s="12"/>
      <c r="C546" s="12"/>
      <c r="D546" s="12"/>
      <c r="E546" s="12"/>
      <c r="F546" s="12"/>
      <c r="G546" s="12"/>
      <c r="H546" s="12"/>
      <c r="I546" s="12"/>
      <c r="J546" s="14"/>
      <c r="K546" s="12"/>
      <c r="L546" s="14"/>
      <c r="M546" s="12"/>
      <c r="N546" s="12"/>
      <c r="O546" s="14"/>
      <c r="P546" s="12"/>
      <c r="Q546" s="15"/>
      <c r="R546" s="15"/>
      <c r="S546" s="21"/>
      <c r="T546" s="12"/>
      <c r="U546" s="46"/>
      <c r="V546" s="23"/>
      <c r="W546" s="22" t="str">
        <f t="array" ref="W546">IF(A546="","",IFERROR(INDEX(PARAMETROS!$J$2:$J700,MATCH(H546,PARAMETROS!$E$2:$E700,0)),""))</f>
        <v/>
      </c>
      <c r="X546" s="23" t="str">
        <f t="shared" si="2"/>
        <v/>
      </c>
    </row>
    <row r="547" spans="1:24">
      <c r="A547" s="12"/>
      <c r="B547" s="12"/>
      <c r="C547" s="12"/>
      <c r="D547" s="12"/>
      <c r="E547" s="12"/>
      <c r="F547" s="12"/>
      <c r="G547" s="12"/>
      <c r="H547" s="12"/>
      <c r="I547" s="12"/>
      <c r="J547" s="14"/>
      <c r="K547" s="12"/>
      <c r="L547" s="14"/>
      <c r="M547" s="12"/>
      <c r="N547" s="12"/>
      <c r="O547" s="14"/>
      <c r="P547" s="12"/>
      <c r="Q547" s="15"/>
      <c r="R547" s="15"/>
      <c r="S547" s="21"/>
      <c r="T547" s="12"/>
      <c r="U547" s="46"/>
      <c r="V547" s="23"/>
      <c r="W547" s="22" t="str">
        <f t="array" ref="W547">IF(A547="","",IFERROR(INDEX(PARAMETROS!$J$2:$J700,MATCH(H547,PARAMETROS!$E$2:$E700,0)),""))</f>
        <v/>
      </c>
      <c r="X547" s="23" t="str">
        <f t="shared" si="2"/>
        <v/>
      </c>
    </row>
    <row r="548" spans="1:24">
      <c r="A548" s="12"/>
      <c r="B548" s="12"/>
      <c r="C548" s="12"/>
      <c r="D548" s="12"/>
      <c r="E548" s="12"/>
      <c r="F548" s="12"/>
      <c r="G548" s="12"/>
      <c r="H548" s="12"/>
      <c r="I548" s="12"/>
      <c r="J548" s="14"/>
      <c r="K548" s="12"/>
      <c r="L548" s="14"/>
      <c r="M548" s="12"/>
      <c r="N548" s="12"/>
      <c r="O548" s="14"/>
      <c r="P548" s="12"/>
      <c r="Q548" s="15"/>
      <c r="R548" s="15"/>
      <c r="S548" s="21"/>
      <c r="T548" s="12"/>
      <c r="U548" s="46"/>
      <c r="V548" s="23"/>
      <c r="W548" s="22" t="str">
        <f t="array" ref="W548">IF(A548="","",IFERROR(INDEX(PARAMETROS!$J$2:$J700,MATCH(H548,PARAMETROS!$E$2:$E700,0)),""))</f>
        <v/>
      </c>
      <c r="X548" s="23" t="str">
        <f t="shared" si="2"/>
        <v/>
      </c>
    </row>
    <row r="549" spans="1:24">
      <c r="A549" s="12"/>
      <c r="B549" s="12"/>
      <c r="C549" s="12"/>
      <c r="D549" s="12"/>
      <c r="E549" s="12"/>
      <c r="F549" s="12"/>
      <c r="G549" s="12"/>
      <c r="H549" s="12"/>
      <c r="I549" s="12"/>
      <c r="J549" s="14"/>
      <c r="K549" s="12"/>
      <c r="L549" s="14"/>
      <c r="M549" s="12"/>
      <c r="N549" s="12"/>
      <c r="O549" s="14"/>
      <c r="P549" s="12"/>
      <c r="Q549" s="15"/>
      <c r="R549" s="15"/>
      <c r="S549" s="21"/>
      <c r="T549" s="12"/>
      <c r="U549" s="46"/>
      <c r="V549" s="23"/>
      <c r="W549" s="22" t="str">
        <f t="array" ref="W549">IF(A549="","",IFERROR(INDEX(PARAMETROS!$J$2:$J700,MATCH(H549,PARAMETROS!$E$2:$E700,0)),""))</f>
        <v/>
      </c>
      <c r="X549" s="23" t="str">
        <f t="shared" si="2"/>
        <v/>
      </c>
    </row>
    <row r="550" spans="1:24">
      <c r="A550" s="12"/>
      <c r="B550" s="12"/>
      <c r="C550" s="12"/>
      <c r="D550" s="12"/>
      <c r="E550" s="12"/>
      <c r="F550" s="12"/>
      <c r="G550" s="12"/>
      <c r="H550" s="12"/>
      <c r="I550" s="12"/>
      <c r="J550" s="14"/>
      <c r="K550" s="12"/>
      <c r="L550" s="14"/>
      <c r="M550" s="12"/>
      <c r="N550" s="12"/>
      <c r="O550" s="14"/>
      <c r="P550" s="12"/>
      <c r="Q550" s="15"/>
      <c r="R550" s="15"/>
      <c r="S550" s="21"/>
      <c r="T550" s="12"/>
      <c r="U550" s="46"/>
      <c r="V550" s="23"/>
      <c r="W550" s="22" t="str">
        <f t="array" ref="W550">IF(A550="","",IFERROR(INDEX(PARAMETROS!$J$2:$J700,MATCH(H550,PARAMETROS!$E$2:$E700,0)),""))</f>
        <v/>
      </c>
      <c r="X550" s="23" t="str">
        <f t="shared" si="2"/>
        <v/>
      </c>
    </row>
    <row r="551" spans="1:24">
      <c r="A551" s="12"/>
      <c r="B551" s="12"/>
      <c r="C551" s="12"/>
      <c r="D551" s="12"/>
      <c r="E551" s="12"/>
      <c r="F551" s="12"/>
      <c r="G551" s="12"/>
      <c r="H551" s="12"/>
      <c r="I551" s="12"/>
      <c r="J551" s="14"/>
      <c r="K551" s="12"/>
      <c r="L551" s="14"/>
      <c r="M551" s="12"/>
      <c r="N551" s="12"/>
      <c r="O551" s="14"/>
      <c r="P551" s="12"/>
      <c r="Q551" s="15"/>
      <c r="R551" s="15"/>
      <c r="S551" s="21"/>
      <c r="T551" s="12"/>
      <c r="U551" s="46"/>
      <c r="V551" s="23"/>
      <c r="W551" s="22" t="str">
        <f t="array" ref="W551">IF(A551="","",IFERROR(INDEX(PARAMETROS!$J$2:$J700,MATCH(H551,PARAMETROS!$E$2:$E700,0)),""))</f>
        <v/>
      </c>
      <c r="X551" s="23" t="str">
        <f t="shared" si="2"/>
        <v/>
      </c>
    </row>
    <row r="552" spans="1:24">
      <c r="A552" s="12"/>
      <c r="B552" s="12"/>
      <c r="C552" s="12"/>
      <c r="D552" s="12"/>
      <c r="E552" s="12"/>
      <c r="F552" s="12"/>
      <c r="G552" s="12"/>
      <c r="H552" s="12"/>
      <c r="I552" s="12"/>
      <c r="J552" s="14"/>
      <c r="K552" s="12"/>
      <c r="L552" s="14"/>
      <c r="M552" s="12"/>
      <c r="N552" s="12"/>
      <c r="O552" s="14"/>
      <c r="P552" s="12"/>
      <c r="Q552" s="15"/>
      <c r="R552" s="15"/>
      <c r="S552" s="21"/>
      <c r="T552" s="12"/>
      <c r="U552" s="46"/>
      <c r="V552" s="23"/>
      <c r="W552" s="22" t="str">
        <f t="array" ref="W552">IF(A552="","",IFERROR(INDEX(PARAMETROS!$J$2:$J700,MATCH(H552,PARAMETROS!$E$2:$E700,0)),""))</f>
        <v/>
      </c>
      <c r="X552" s="23" t="str">
        <f t="shared" si="2"/>
        <v/>
      </c>
    </row>
    <row r="553" spans="1:24">
      <c r="A553" s="12"/>
      <c r="B553" s="12"/>
      <c r="C553" s="12"/>
      <c r="D553" s="12"/>
      <c r="E553" s="12"/>
      <c r="F553" s="12"/>
      <c r="G553" s="12"/>
      <c r="H553" s="12"/>
      <c r="I553" s="12"/>
      <c r="J553" s="14"/>
      <c r="K553" s="12"/>
      <c r="L553" s="14"/>
      <c r="M553" s="12"/>
      <c r="N553" s="12"/>
      <c r="O553" s="14"/>
      <c r="P553" s="12"/>
      <c r="Q553" s="15"/>
      <c r="R553" s="15"/>
      <c r="S553" s="21"/>
      <c r="T553" s="12"/>
      <c r="U553" s="46"/>
      <c r="V553" s="23"/>
      <c r="W553" s="22" t="str">
        <f t="array" ref="W553">IF(A553="","",IFERROR(INDEX(PARAMETROS!$J$2:$J700,MATCH(H553,PARAMETROS!$E$2:$E700,0)),""))</f>
        <v/>
      </c>
      <c r="X553" s="23" t="str">
        <f t="shared" si="2"/>
        <v/>
      </c>
    </row>
    <row r="554" spans="1:24">
      <c r="A554" s="12"/>
      <c r="B554" s="12"/>
      <c r="C554" s="12"/>
      <c r="D554" s="12"/>
      <c r="E554" s="12"/>
      <c r="F554" s="12"/>
      <c r="G554" s="12"/>
      <c r="H554" s="12"/>
      <c r="I554" s="12"/>
      <c r="J554" s="14"/>
      <c r="K554" s="12"/>
      <c r="L554" s="14"/>
      <c r="M554" s="12"/>
      <c r="N554" s="12"/>
      <c r="O554" s="14"/>
      <c r="P554" s="12"/>
      <c r="Q554" s="15"/>
      <c r="R554" s="15"/>
      <c r="S554" s="21"/>
      <c r="T554" s="12"/>
      <c r="U554" s="46"/>
      <c r="V554" s="23"/>
      <c r="W554" s="22" t="str">
        <f t="array" ref="W554">IF(A554="","",IFERROR(INDEX(PARAMETROS!$J$2:$J700,MATCH(H554,PARAMETROS!$E$2:$E700,0)),""))</f>
        <v/>
      </c>
      <c r="X554" s="23" t="str">
        <f t="shared" si="2"/>
        <v/>
      </c>
    </row>
    <row r="555" spans="1:24">
      <c r="A555" s="12"/>
      <c r="B555" s="12"/>
      <c r="C555" s="12"/>
      <c r="D555" s="12"/>
      <c r="E555" s="12"/>
      <c r="F555" s="12"/>
      <c r="G555" s="12"/>
      <c r="H555" s="12"/>
      <c r="I555" s="12"/>
      <c r="J555" s="14"/>
      <c r="K555" s="12"/>
      <c r="L555" s="14"/>
      <c r="M555" s="12"/>
      <c r="N555" s="12"/>
      <c r="O555" s="14"/>
      <c r="P555" s="12"/>
      <c r="Q555" s="15"/>
      <c r="R555" s="15"/>
      <c r="S555" s="21"/>
      <c r="T555" s="12"/>
      <c r="U555" s="46"/>
      <c r="V555" s="23"/>
      <c r="W555" s="22" t="str">
        <f t="array" ref="W555">IF(A555="","",IFERROR(INDEX(PARAMETROS!$J$2:$J700,MATCH(H555,PARAMETROS!$E$2:$E700,0)),""))</f>
        <v/>
      </c>
      <c r="X555" s="23" t="str">
        <f t="shared" si="2"/>
        <v/>
      </c>
    </row>
    <row r="556" spans="1:24">
      <c r="A556" s="12"/>
      <c r="B556" s="12"/>
      <c r="C556" s="12"/>
      <c r="D556" s="12"/>
      <c r="E556" s="12"/>
      <c r="F556" s="12"/>
      <c r="G556" s="12"/>
      <c r="H556" s="12"/>
      <c r="I556" s="12"/>
      <c r="J556" s="14"/>
      <c r="K556" s="12"/>
      <c r="L556" s="14"/>
      <c r="M556" s="12"/>
      <c r="N556" s="12"/>
      <c r="O556" s="14"/>
      <c r="P556" s="12"/>
      <c r="Q556" s="15"/>
      <c r="R556" s="15"/>
      <c r="S556" s="21"/>
      <c r="T556" s="12"/>
      <c r="U556" s="46"/>
      <c r="V556" s="23"/>
      <c r="W556" s="22" t="str">
        <f t="array" ref="W556">IF(A556="","",IFERROR(INDEX(PARAMETROS!$J$2:$J700,MATCH(H556,PARAMETROS!$E$2:$E700,0)),""))</f>
        <v/>
      </c>
      <c r="X556" s="23" t="str">
        <f t="shared" si="2"/>
        <v/>
      </c>
    </row>
    <row r="557" spans="1:24">
      <c r="A557" s="12"/>
      <c r="B557" s="12"/>
      <c r="C557" s="12"/>
      <c r="D557" s="12"/>
      <c r="E557" s="12"/>
      <c r="F557" s="12"/>
      <c r="G557" s="12"/>
      <c r="H557" s="12"/>
      <c r="I557" s="12"/>
      <c r="J557" s="14"/>
      <c r="K557" s="12"/>
      <c r="L557" s="14"/>
      <c r="M557" s="12"/>
      <c r="N557" s="12"/>
      <c r="O557" s="14"/>
      <c r="P557" s="12"/>
      <c r="Q557" s="15"/>
      <c r="R557" s="15"/>
      <c r="S557" s="21"/>
      <c r="T557" s="12"/>
      <c r="U557" s="46"/>
      <c r="V557" s="23"/>
      <c r="W557" s="22" t="str">
        <f t="array" ref="W557">IF(A557="","",IFERROR(INDEX(PARAMETROS!$J$2:$J700,MATCH(H557,PARAMETROS!$E$2:$E700,0)),""))</f>
        <v/>
      </c>
      <c r="X557" s="23" t="str">
        <f t="shared" si="2"/>
        <v/>
      </c>
    </row>
    <row r="558" spans="1:24">
      <c r="A558" s="12"/>
      <c r="B558" s="12"/>
      <c r="C558" s="12"/>
      <c r="D558" s="12"/>
      <c r="E558" s="12"/>
      <c r="F558" s="12"/>
      <c r="G558" s="12"/>
      <c r="H558" s="12"/>
      <c r="I558" s="12"/>
      <c r="J558" s="14"/>
      <c r="K558" s="12"/>
      <c r="L558" s="14"/>
      <c r="M558" s="12"/>
      <c r="N558" s="12"/>
      <c r="O558" s="14"/>
      <c r="P558" s="12"/>
      <c r="Q558" s="15"/>
      <c r="R558" s="15"/>
      <c r="S558" s="21"/>
      <c r="T558" s="12"/>
      <c r="U558" s="46"/>
      <c r="V558" s="23"/>
      <c r="W558" s="22" t="str">
        <f t="array" ref="W558">IF(A558="","",IFERROR(INDEX(PARAMETROS!$J$2:$J700,MATCH(H558,PARAMETROS!$E$2:$E700,0)),""))</f>
        <v/>
      </c>
      <c r="X558" s="23" t="str">
        <f t="shared" si="2"/>
        <v/>
      </c>
    </row>
    <row r="559" spans="1:24">
      <c r="A559" s="12"/>
      <c r="B559" s="12"/>
      <c r="C559" s="12"/>
      <c r="D559" s="12"/>
      <c r="E559" s="12"/>
      <c r="F559" s="12"/>
      <c r="G559" s="12"/>
      <c r="H559" s="12"/>
      <c r="I559" s="12"/>
      <c r="J559" s="14"/>
      <c r="K559" s="12"/>
      <c r="L559" s="14"/>
      <c r="M559" s="12"/>
      <c r="N559" s="12"/>
      <c r="O559" s="14"/>
      <c r="P559" s="12"/>
      <c r="Q559" s="15"/>
      <c r="R559" s="15"/>
      <c r="S559" s="21"/>
      <c r="T559" s="12"/>
      <c r="U559" s="46"/>
      <c r="V559" s="23"/>
      <c r="W559" s="22" t="str">
        <f t="array" ref="W559">IF(A559="","",IFERROR(INDEX(PARAMETROS!$J$2:$J700,MATCH(H559,PARAMETROS!$E$2:$E700,0)),""))</f>
        <v/>
      </c>
      <c r="X559" s="23" t="str">
        <f t="shared" si="2"/>
        <v/>
      </c>
    </row>
    <row r="560" spans="1:24">
      <c r="A560" s="12"/>
      <c r="B560" s="12"/>
      <c r="C560" s="12"/>
      <c r="D560" s="12"/>
      <c r="E560" s="12"/>
      <c r="F560" s="12"/>
      <c r="G560" s="12"/>
      <c r="H560" s="12"/>
      <c r="I560" s="12"/>
      <c r="J560" s="14"/>
      <c r="K560" s="12"/>
      <c r="L560" s="14"/>
      <c r="M560" s="12"/>
      <c r="N560" s="12"/>
      <c r="O560" s="14"/>
      <c r="P560" s="12"/>
      <c r="Q560" s="15"/>
      <c r="R560" s="15"/>
      <c r="S560" s="21"/>
      <c r="T560" s="12"/>
      <c r="U560" s="46"/>
      <c r="V560" s="23"/>
      <c r="W560" s="22" t="str">
        <f t="array" ref="W560">IF(A560="","",IFERROR(INDEX(PARAMETROS!$J$2:$J700,MATCH(H560,PARAMETROS!$E$2:$E700,0)),""))</f>
        <v/>
      </c>
      <c r="X560" s="23" t="str">
        <f t="shared" si="2"/>
        <v/>
      </c>
    </row>
    <row r="561" spans="1:24">
      <c r="A561" s="12"/>
      <c r="B561" s="12"/>
      <c r="C561" s="12"/>
      <c r="D561" s="12"/>
      <c r="E561" s="12"/>
      <c r="F561" s="12"/>
      <c r="G561" s="12"/>
      <c r="H561" s="12"/>
      <c r="I561" s="12"/>
      <c r="J561" s="14"/>
      <c r="K561" s="12"/>
      <c r="L561" s="14"/>
      <c r="M561" s="12"/>
      <c r="N561" s="12"/>
      <c r="O561" s="14"/>
      <c r="P561" s="12"/>
      <c r="Q561" s="15"/>
      <c r="R561" s="15"/>
      <c r="S561" s="21"/>
      <c r="T561" s="12"/>
      <c r="U561" s="46"/>
      <c r="V561" s="23"/>
      <c r="W561" s="22" t="str">
        <f t="array" ref="W561">IF(A561="","",IFERROR(INDEX(PARAMETROS!$J$2:$J700,MATCH(H561,PARAMETROS!$E$2:$E700,0)),""))</f>
        <v/>
      </c>
      <c r="X561" s="23" t="str">
        <f t="shared" si="2"/>
        <v/>
      </c>
    </row>
    <row r="562" spans="1:24">
      <c r="A562" s="12"/>
      <c r="B562" s="12"/>
      <c r="C562" s="12"/>
      <c r="D562" s="12"/>
      <c r="E562" s="12"/>
      <c r="F562" s="12"/>
      <c r="G562" s="12"/>
      <c r="H562" s="12"/>
      <c r="I562" s="12"/>
      <c r="J562" s="14"/>
      <c r="K562" s="12"/>
      <c r="L562" s="14"/>
      <c r="M562" s="12"/>
      <c r="N562" s="12"/>
      <c r="O562" s="14"/>
      <c r="P562" s="12"/>
      <c r="Q562" s="15"/>
      <c r="R562" s="15"/>
      <c r="S562" s="21"/>
      <c r="T562" s="12"/>
      <c r="U562" s="46"/>
      <c r="V562" s="23"/>
      <c r="W562" s="22" t="str">
        <f t="array" ref="W562">IF(A562="","",IFERROR(INDEX(PARAMETROS!$J$2:$J700,MATCH(H562,PARAMETROS!$E$2:$E700,0)),""))</f>
        <v/>
      </c>
      <c r="X562" s="23" t="str">
        <f t="shared" si="2"/>
        <v/>
      </c>
    </row>
    <row r="563" spans="1:24">
      <c r="A563" s="12"/>
      <c r="B563" s="12"/>
      <c r="C563" s="12"/>
      <c r="D563" s="12"/>
      <c r="E563" s="12"/>
      <c r="F563" s="12"/>
      <c r="G563" s="12"/>
      <c r="H563" s="12"/>
      <c r="I563" s="12"/>
      <c r="J563" s="14"/>
      <c r="K563" s="12"/>
      <c r="L563" s="14"/>
      <c r="M563" s="12"/>
      <c r="N563" s="12"/>
      <c r="O563" s="14"/>
      <c r="P563" s="12"/>
      <c r="Q563" s="15"/>
      <c r="R563" s="15"/>
      <c r="S563" s="21"/>
      <c r="T563" s="12"/>
      <c r="U563" s="46"/>
      <c r="V563" s="23"/>
      <c r="W563" s="22" t="str">
        <f t="array" ref="W563">IF(A563="","",IFERROR(INDEX(PARAMETROS!$J$2:$J700,MATCH(H563,PARAMETROS!$E$2:$E700,0)),""))</f>
        <v/>
      </c>
      <c r="X563" s="23" t="str">
        <f t="shared" si="2"/>
        <v/>
      </c>
    </row>
    <row r="564" spans="1:24">
      <c r="A564" s="12"/>
      <c r="B564" s="12"/>
      <c r="C564" s="12"/>
      <c r="D564" s="12"/>
      <c r="E564" s="12"/>
      <c r="F564" s="12"/>
      <c r="G564" s="12"/>
      <c r="H564" s="12"/>
      <c r="I564" s="12"/>
      <c r="J564" s="14"/>
      <c r="K564" s="12"/>
      <c r="L564" s="14"/>
      <c r="M564" s="12"/>
      <c r="N564" s="12"/>
      <c r="O564" s="14"/>
      <c r="P564" s="12"/>
      <c r="Q564" s="15"/>
      <c r="R564" s="15"/>
      <c r="S564" s="21"/>
      <c r="T564" s="12"/>
      <c r="U564" s="46"/>
      <c r="V564" s="23"/>
      <c r="W564" s="22" t="str">
        <f t="array" ref="W564">IF(A564="","",IFERROR(INDEX(PARAMETROS!$J$2:$J700,MATCH(H564,PARAMETROS!$E$2:$E700,0)),""))</f>
        <v/>
      </c>
      <c r="X564" s="23" t="str">
        <f t="shared" si="2"/>
        <v/>
      </c>
    </row>
    <row r="565" spans="1:24">
      <c r="A565" s="12"/>
      <c r="B565" s="12"/>
      <c r="C565" s="12"/>
      <c r="D565" s="12"/>
      <c r="E565" s="12"/>
      <c r="F565" s="12"/>
      <c r="G565" s="12"/>
      <c r="H565" s="12"/>
      <c r="I565" s="12"/>
      <c r="J565" s="14"/>
      <c r="K565" s="12"/>
      <c r="L565" s="14"/>
      <c r="M565" s="12"/>
      <c r="N565" s="12"/>
      <c r="O565" s="14"/>
      <c r="P565" s="12"/>
      <c r="Q565" s="15"/>
      <c r="R565" s="15"/>
      <c r="S565" s="21"/>
      <c r="T565" s="12"/>
      <c r="U565" s="46"/>
      <c r="V565" s="23"/>
      <c r="W565" s="22" t="str">
        <f t="array" ref="W565">IF(A565="","",IFERROR(INDEX(PARAMETROS!$J$2:$J700,MATCH(H565,PARAMETROS!$E$2:$E700,0)),""))</f>
        <v/>
      </c>
      <c r="X565" s="23" t="str">
        <f t="shared" si="2"/>
        <v/>
      </c>
    </row>
    <row r="566" spans="1:24">
      <c r="A566" s="12"/>
      <c r="B566" s="12"/>
      <c r="C566" s="12"/>
      <c r="D566" s="12"/>
      <c r="E566" s="12"/>
      <c r="F566" s="12"/>
      <c r="G566" s="12"/>
      <c r="H566" s="12"/>
      <c r="I566" s="12"/>
      <c r="J566" s="14"/>
      <c r="K566" s="12"/>
      <c r="L566" s="14"/>
      <c r="M566" s="12"/>
      <c r="N566" s="12"/>
      <c r="O566" s="14"/>
      <c r="P566" s="12"/>
      <c r="Q566" s="15"/>
      <c r="R566" s="15"/>
      <c r="S566" s="21"/>
      <c r="T566" s="12"/>
      <c r="U566" s="46"/>
      <c r="V566" s="23"/>
      <c r="W566" s="22" t="str">
        <f t="array" ref="W566">IF(A566="","",IFERROR(INDEX(PARAMETROS!$J$2:$J700,MATCH(H566,PARAMETROS!$E$2:$E700,0)),""))</f>
        <v/>
      </c>
      <c r="X566" s="23" t="str">
        <f t="shared" si="2"/>
        <v/>
      </c>
    </row>
    <row r="567" spans="1:24">
      <c r="A567" s="12"/>
      <c r="B567" s="12"/>
      <c r="C567" s="12"/>
      <c r="D567" s="12"/>
      <c r="E567" s="12"/>
      <c r="F567" s="12"/>
      <c r="G567" s="12"/>
      <c r="H567" s="12"/>
      <c r="I567" s="12"/>
      <c r="J567" s="14"/>
      <c r="K567" s="12"/>
      <c r="L567" s="14"/>
      <c r="M567" s="12"/>
      <c r="N567" s="12"/>
      <c r="O567" s="14"/>
      <c r="P567" s="12"/>
      <c r="Q567" s="15"/>
      <c r="R567" s="15"/>
      <c r="S567" s="21"/>
      <c r="T567" s="12"/>
      <c r="U567" s="46"/>
      <c r="V567" s="23"/>
      <c r="W567" s="22" t="str">
        <f t="array" ref="W567">IF(A567="","",IFERROR(INDEX(PARAMETROS!$J$2:$J700,MATCH(H567,PARAMETROS!$E$2:$E700,0)),""))</f>
        <v/>
      </c>
      <c r="X567" s="23" t="str">
        <f t="shared" si="2"/>
        <v/>
      </c>
    </row>
    <row r="568" spans="1:24">
      <c r="A568" s="12"/>
      <c r="B568" s="12"/>
      <c r="C568" s="12"/>
      <c r="D568" s="12"/>
      <c r="E568" s="12"/>
      <c r="F568" s="12"/>
      <c r="G568" s="12"/>
      <c r="H568" s="12"/>
      <c r="I568" s="12"/>
      <c r="J568" s="14"/>
      <c r="K568" s="12"/>
      <c r="L568" s="14"/>
      <c r="M568" s="12"/>
      <c r="N568" s="12"/>
      <c r="O568" s="14"/>
      <c r="P568" s="12"/>
      <c r="Q568" s="15"/>
      <c r="R568" s="15"/>
      <c r="S568" s="21"/>
      <c r="T568" s="12"/>
      <c r="U568" s="46"/>
      <c r="V568" s="23"/>
      <c r="W568" s="22" t="str">
        <f t="array" ref="W568">IF(A568="","",IFERROR(INDEX(PARAMETROS!$J$2:$J700,MATCH(H568,PARAMETROS!$E$2:$E700,0)),""))</f>
        <v/>
      </c>
      <c r="X568" s="23" t="str">
        <f t="shared" si="2"/>
        <v/>
      </c>
    </row>
    <row r="569" spans="1:24">
      <c r="A569" s="12"/>
      <c r="B569" s="12"/>
      <c r="C569" s="12"/>
      <c r="D569" s="12"/>
      <c r="E569" s="12"/>
      <c r="F569" s="12"/>
      <c r="G569" s="12"/>
      <c r="H569" s="12"/>
      <c r="I569" s="12"/>
      <c r="J569" s="14"/>
      <c r="K569" s="12"/>
      <c r="L569" s="14"/>
      <c r="M569" s="12"/>
      <c r="N569" s="12"/>
      <c r="O569" s="14"/>
      <c r="P569" s="12"/>
      <c r="Q569" s="15"/>
      <c r="R569" s="15"/>
      <c r="S569" s="21"/>
      <c r="T569" s="12"/>
      <c r="U569" s="46"/>
      <c r="V569" s="23"/>
      <c r="W569" s="22" t="str">
        <f t="array" ref="W569">IF(A569="","",IFERROR(INDEX(PARAMETROS!$J$2:$J700,MATCH(H569,PARAMETROS!$E$2:$E700,0)),""))</f>
        <v/>
      </c>
      <c r="X569" s="23" t="str">
        <f t="shared" si="2"/>
        <v/>
      </c>
    </row>
    <row r="570" spans="1:24">
      <c r="A570" s="12"/>
      <c r="B570" s="12"/>
      <c r="C570" s="12"/>
      <c r="D570" s="12"/>
      <c r="E570" s="12"/>
      <c r="F570" s="12"/>
      <c r="G570" s="12"/>
      <c r="H570" s="12"/>
      <c r="I570" s="12"/>
      <c r="J570" s="14"/>
      <c r="K570" s="12"/>
      <c r="L570" s="14"/>
      <c r="M570" s="12"/>
      <c r="N570" s="12"/>
      <c r="O570" s="14"/>
      <c r="P570" s="12"/>
      <c r="Q570" s="15"/>
      <c r="R570" s="15"/>
      <c r="S570" s="21"/>
      <c r="T570" s="12"/>
      <c r="U570" s="46"/>
      <c r="V570" s="23"/>
      <c r="W570" s="22" t="str">
        <f t="array" ref="W570">IF(A570="","",IFERROR(INDEX(PARAMETROS!$J$2:$J700,MATCH(H570,PARAMETROS!$E$2:$E700,0)),""))</f>
        <v/>
      </c>
      <c r="X570" s="23" t="str">
        <f t="shared" si="2"/>
        <v/>
      </c>
    </row>
    <row r="571" spans="1:24">
      <c r="A571" s="12"/>
      <c r="B571" s="12"/>
      <c r="C571" s="12"/>
      <c r="D571" s="12"/>
      <c r="E571" s="12"/>
      <c r="F571" s="12"/>
      <c r="G571" s="12"/>
      <c r="H571" s="12"/>
      <c r="I571" s="12"/>
      <c r="J571" s="14"/>
      <c r="K571" s="12"/>
      <c r="L571" s="14"/>
      <c r="M571" s="12"/>
      <c r="N571" s="12"/>
      <c r="O571" s="14"/>
      <c r="P571" s="12"/>
      <c r="Q571" s="15"/>
      <c r="R571" s="15"/>
      <c r="S571" s="21"/>
      <c r="T571" s="12"/>
      <c r="U571" s="46"/>
      <c r="V571" s="23"/>
      <c r="W571" s="22" t="str">
        <f t="array" ref="W571">IF(A571="","",IFERROR(INDEX(PARAMETROS!$J$2:$J700,MATCH(H571,PARAMETROS!$E$2:$E700,0)),""))</f>
        <v/>
      </c>
      <c r="X571" s="23" t="str">
        <f t="shared" si="2"/>
        <v/>
      </c>
    </row>
    <row r="572" spans="1:24">
      <c r="A572" s="12"/>
      <c r="B572" s="12"/>
      <c r="C572" s="12"/>
      <c r="D572" s="12"/>
      <c r="E572" s="12"/>
      <c r="F572" s="12"/>
      <c r="G572" s="12"/>
      <c r="H572" s="12"/>
      <c r="I572" s="12"/>
      <c r="J572" s="14"/>
      <c r="K572" s="12"/>
      <c r="L572" s="14"/>
      <c r="M572" s="12"/>
      <c r="N572" s="12"/>
      <c r="O572" s="14"/>
      <c r="P572" s="12"/>
      <c r="Q572" s="15"/>
      <c r="R572" s="15"/>
      <c r="S572" s="21"/>
      <c r="T572" s="12"/>
      <c r="U572" s="46"/>
      <c r="V572" s="23"/>
      <c r="W572" s="22" t="str">
        <f t="array" ref="W572">IF(A572="","",IFERROR(INDEX(PARAMETROS!$J$2:$J700,MATCH(H572,PARAMETROS!$E$2:$E700,0)),""))</f>
        <v/>
      </c>
      <c r="X572" s="23" t="str">
        <f t="shared" si="2"/>
        <v/>
      </c>
    </row>
    <row r="573" spans="1:24">
      <c r="A573" s="12"/>
      <c r="B573" s="12"/>
      <c r="C573" s="12"/>
      <c r="D573" s="12"/>
      <c r="E573" s="12"/>
      <c r="F573" s="12"/>
      <c r="G573" s="12"/>
      <c r="H573" s="12"/>
      <c r="I573" s="12"/>
      <c r="J573" s="14"/>
      <c r="K573" s="12"/>
      <c r="L573" s="14"/>
      <c r="M573" s="12"/>
      <c r="N573" s="12"/>
      <c r="O573" s="14"/>
      <c r="P573" s="12"/>
      <c r="Q573" s="15"/>
      <c r="R573" s="15"/>
      <c r="S573" s="21"/>
      <c r="T573" s="12"/>
      <c r="U573" s="46"/>
      <c r="V573" s="23"/>
      <c r="W573" s="22" t="str">
        <f t="array" ref="W573">IF(A573="","",IFERROR(INDEX(PARAMETROS!$J$2:$J700,MATCH(H573,PARAMETROS!$E$2:$E700,0)),""))</f>
        <v/>
      </c>
      <c r="X573" s="23" t="str">
        <f t="shared" si="2"/>
        <v/>
      </c>
    </row>
    <row r="574" spans="1:24">
      <c r="A574" s="12"/>
      <c r="B574" s="12"/>
      <c r="C574" s="12"/>
      <c r="D574" s="12"/>
      <c r="E574" s="12"/>
      <c r="F574" s="12"/>
      <c r="G574" s="12"/>
      <c r="H574" s="12"/>
      <c r="I574" s="12"/>
      <c r="J574" s="14"/>
      <c r="K574" s="12"/>
      <c r="L574" s="14"/>
      <c r="M574" s="12"/>
      <c r="N574" s="12"/>
      <c r="O574" s="14"/>
      <c r="P574" s="12"/>
      <c r="Q574" s="15"/>
      <c r="R574" s="15"/>
      <c r="S574" s="21"/>
      <c r="T574" s="12"/>
      <c r="U574" s="46"/>
      <c r="V574" s="23"/>
      <c r="W574" s="22" t="str">
        <f t="array" ref="W574">IF(A574="","",IFERROR(INDEX(PARAMETROS!$J$2:$J700,MATCH(H574,PARAMETROS!$E$2:$E700,0)),""))</f>
        <v/>
      </c>
      <c r="X574" s="23" t="str">
        <f t="shared" si="2"/>
        <v/>
      </c>
    </row>
    <row r="575" spans="1:24">
      <c r="A575" s="12"/>
      <c r="B575" s="12"/>
      <c r="C575" s="12"/>
      <c r="D575" s="12"/>
      <c r="E575" s="12"/>
      <c r="F575" s="12"/>
      <c r="G575" s="12"/>
      <c r="H575" s="12"/>
      <c r="I575" s="12"/>
      <c r="J575" s="14"/>
      <c r="K575" s="12"/>
      <c r="L575" s="14"/>
      <c r="M575" s="12"/>
      <c r="N575" s="12"/>
      <c r="O575" s="14"/>
      <c r="P575" s="12"/>
      <c r="Q575" s="15"/>
      <c r="R575" s="15"/>
      <c r="S575" s="21"/>
      <c r="T575" s="12"/>
      <c r="U575" s="46"/>
      <c r="V575" s="23"/>
      <c r="W575" s="22" t="str">
        <f t="array" ref="W575">IF(A575="","",IFERROR(INDEX(PARAMETROS!$J$2:$J700,MATCH(H575,PARAMETROS!$E$2:$E700,0)),""))</f>
        <v/>
      </c>
      <c r="X575" s="23" t="str">
        <f t="shared" si="2"/>
        <v/>
      </c>
    </row>
    <row r="576" spans="1:24">
      <c r="A576" s="12"/>
      <c r="B576" s="12"/>
      <c r="C576" s="12"/>
      <c r="D576" s="12"/>
      <c r="E576" s="12"/>
      <c r="F576" s="12"/>
      <c r="G576" s="12"/>
      <c r="H576" s="12"/>
      <c r="I576" s="12"/>
      <c r="J576" s="14"/>
      <c r="K576" s="12"/>
      <c r="L576" s="14"/>
      <c r="M576" s="12"/>
      <c r="N576" s="12"/>
      <c r="O576" s="14"/>
      <c r="P576" s="12"/>
      <c r="Q576" s="15"/>
      <c r="R576" s="15"/>
      <c r="S576" s="21"/>
      <c r="T576" s="12"/>
      <c r="U576" s="46"/>
      <c r="V576" s="23"/>
      <c r="W576" s="22" t="str">
        <f t="array" ref="W576">IF(A576="","",IFERROR(INDEX(PARAMETROS!$J$2:$J700,MATCH(H576,PARAMETROS!$E$2:$E700,0)),""))</f>
        <v/>
      </c>
      <c r="X576" s="23" t="str">
        <f t="shared" si="2"/>
        <v/>
      </c>
    </row>
    <row r="577" spans="1:24">
      <c r="A577" s="12"/>
      <c r="B577" s="12"/>
      <c r="C577" s="12"/>
      <c r="D577" s="12"/>
      <c r="E577" s="12"/>
      <c r="F577" s="12"/>
      <c r="G577" s="12"/>
      <c r="H577" s="12"/>
      <c r="I577" s="12"/>
      <c r="J577" s="14"/>
      <c r="K577" s="12"/>
      <c r="L577" s="14"/>
      <c r="M577" s="12"/>
      <c r="N577" s="12"/>
      <c r="O577" s="14"/>
      <c r="P577" s="12"/>
      <c r="Q577" s="15"/>
      <c r="R577" s="15"/>
      <c r="S577" s="21"/>
      <c r="T577" s="12"/>
      <c r="U577" s="46"/>
      <c r="V577" s="23"/>
      <c r="W577" s="22" t="str">
        <f t="array" ref="W577">IF(A577="","",IFERROR(INDEX(PARAMETROS!$J$2:$J700,MATCH(H577,PARAMETROS!$E$2:$E700,0)),""))</f>
        <v/>
      </c>
      <c r="X577" s="23" t="str">
        <f t="shared" si="2"/>
        <v/>
      </c>
    </row>
    <row r="578" spans="1:24">
      <c r="A578" s="12"/>
      <c r="B578" s="12"/>
      <c r="C578" s="12"/>
      <c r="D578" s="12"/>
      <c r="E578" s="12"/>
      <c r="F578" s="12"/>
      <c r="G578" s="12"/>
      <c r="H578" s="12"/>
      <c r="I578" s="12"/>
      <c r="J578" s="14"/>
      <c r="K578" s="12"/>
      <c r="L578" s="14"/>
      <c r="M578" s="12"/>
      <c r="N578" s="12"/>
      <c r="O578" s="14"/>
      <c r="P578" s="12"/>
      <c r="Q578" s="15"/>
      <c r="R578" s="15"/>
      <c r="S578" s="21"/>
      <c r="T578" s="12"/>
      <c r="U578" s="46"/>
      <c r="V578" s="23"/>
      <c r="W578" s="22" t="str">
        <f t="array" ref="W578">IF(A578="","",IFERROR(INDEX(PARAMETROS!$J$2:$J700,MATCH(H578,PARAMETROS!$E$2:$E700,0)),""))</f>
        <v/>
      </c>
      <c r="X578" s="23" t="str">
        <f t="shared" si="2"/>
        <v/>
      </c>
    </row>
    <row r="579" spans="1:24">
      <c r="A579" s="12"/>
      <c r="B579" s="12"/>
      <c r="C579" s="12"/>
      <c r="D579" s="12"/>
      <c r="E579" s="12"/>
      <c r="F579" s="12"/>
      <c r="G579" s="12"/>
      <c r="H579" s="12"/>
      <c r="I579" s="12"/>
      <c r="J579" s="14"/>
      <c r="K579" s="12"/>
      <c r="L579" s="14"/>
      <c r="M579" s="12"/>
      <c r="N579" s="12"/>
      <c r="O579" s="14"/>
      <c r="P579" s="12"/>
      <c r="Q579" s="15"/>
      <c r="R579" s="15"/>
      <c r="S579" s="21"/>
      <c r="T579" s="12"/>
      <c r="U579" s="46"/>
      <c r="V579" s="23"/>
      <c r="W579" s="22" t="str">
        <f t="array" ref="W579">IF(A579="","",IFERROR(INDEX(PARAMETROS!$J$2:$J700,MATCH(H579,PARAMETROS!$E$2:$E700,0)),""))</f>
        <v/>
      </c>
      <c r="X579" s="23" t="str">
        <f t="shared" si="2"/>
        <v/>
      </c>
    </row>
    <row r="580" spans="1:24">
      <c r="A580" s="12"/>
      <c r="B580" s="12"/>
      <c r="C580" s="12"/>
      <c r="D580" s="12"/>
      <c r="E580" s="12"/>
      <c r="F580" s="12"/>
      <c r="G580" s="12"/>
      <c r="H580" s="12"/>
      <c r="I580" s="12"/>
      <c r="J580" s="14"/>
      <c r="K580" s="12"/>
      <c r="L580" s="14"/>
      <c r="M580" s="12"/>
      <c r="N580" s="12"/>
      <c r="O580" s="14"/>
      <c r="P580" s="12"/>
      <c r="Q580" s="15"/>
      <c r="R580" s="15"/>
      <c r="S580" s="21"/>
      <c r="T580" s="12"/>
      <c r="U580" s="46"/>
      <c r="V580" s="23"/>
      <c r="W580" s="22" t="str">
        <f t="array" ref="W580">IF(A580="","",IFERROR(INDEX(PARAMETROS!$J$2:$J700,MATCH(H580,PARAMETROS!$E$2:$E700,0)),""))</f>
        <v/>
      </c>
      <c r="X580" s="23" t="str">
        <f t="shared" si="2"/>
        <v/>
      </c>
    </row>
    <row r="581" spans="1:24">
      <c r="A581" s="12"/>
      <c r="B581" s="12"/>
      <c r="C581" s="12"/>
      <c r="D581" s="12"/>
      <c r="E581" s="12"/>
      <c r="F581" s="12"/>
      <c r="G581" s="12"/>
      <c r="H581" s="12"/>
      <c r="I581" s="12"/>
      <c r="J581" s="14"/>
      <c r="K581" s="12"/>
      <c r="L581" s="14"/>
      <c r="M581" s="12"/>
      <c r="N581" s="12"/>
      <c r="O581" s="14"/>
      <c r="P581" s="12"/>
      <c r="Q581" s="15"/>
      <c r="R581" s="15"/>
      <c r="S581" s="21"/>
      <c r="T581" s="12"/>
      <c r="U581" s="46"/>
      <c r="V581" s="23"/>
      <c r="W581" s="22" t="str">
        <f t="array" ref="W581">IF(A581="","",IFERROR(INDEX(PARAMETROS!$J$2:$J700,MATCH(H581,PARAMETROS!$E$2:$E700,0)),""))</f>
        <v/>
      </c>
      <c r="X581" s="23" t="str">
        <f t="shared" si="2"/>
        <v/>
      </c>
    </row>
    <row r="582" spans="1:24">
      <c r="A582" s="12"/>
      <c r="B582" s="12"/>
      <c r="C582" s="12"/>
      <c r="D582" s="12"/>
      <c r="E582" s="12"/>
      <c r="F582" s="12"/>
      <c r="G582" s="12"/>
      <c r="H582" s="12"/>
      <c r="I582" s="12"/>
      <c r="J582" s="14"/>
      <c r="K582" s="12"/>
      <c r="L582" s="14"/>
      <c r="M582" s="12"/>
      <c r="N582" s="12"/>
      <c r="O582" s="14"/>
      <c r="P582" s="12"/>
      <c r="Q582" s="15"/>
      <c r="R582" s="15"/>
      <c r="S582" s="21"/>
      <c r="T582" s="12"/>
      <c r="U582" s="46"/>
      <c r="V582" s="23"/>
      <c r="W582" s="22" t="str">
        <f t="array" ref="W582">IF(A582="","",IFERROR(INDEX(PARAMETROS!$J$2:$J700,MATCH(H582,PARAMETROS!$E$2:$E700,0)),""))</f>
        <v/>
      </c>
      <c r="X582" s="23" t="str">
        <f t="shared" si="2"/>
        <v/>
      </c>
    </row>
    <row r="583" spans="1:24">
      <c r="A583" s="12"/>
      <c r="B583" s="12"/>
      <c r="C583" s="12"/>
      <c r="D583" s="12"/>
      <c r="E583" s="12"/>
      <c r="F583" s="12"/>
      <c r="G583" s="12"/>
      <c r="H583" s="12"/>
      <c r="I583" s="12"/>
      <c r="J583" s="14"/>
      <c r="K583" s="12"/>
      <c r="L583" s="14"/>
      <c r="M583" s="12"/>
      <c r="N583" s="12"/>
      <c r="O583" s="14"/>
      <c r="P583" s="12"/>
      <c r="Q583" s="15"/>
      <c r="R583" s="15"/>
      <c r="S583" s="21"/>
      <c r="T583" s="12"/>
      <c r="U583" s="46"/>
      <c r="V583" s="23"/>
      <c r="W583" s="22" t="str">
        <f t="array" ref="W583">IF(A583="","",IFERROR(INDEX(PARAMETROS!$J$2:$J700,MATCH(H583,PARAMETROS!$E$2:$E700,0)),""))</f>
        <v/>
      </c>
      <c r="X583" s="23" t="str">
        <f t="shared" si="2"/>
        <v/>
      </c>
    </row>
    <row r="584" spans="1:24">
      <c r="A584" s="12"/>
      <c r="B584" s="12"/>
      <c r="C584" s="12"/>
      <c r="D584" s="12"/>
      <c r="E584" s="12"/>
      <c r="F584" s="12"/>
      <c r="G584" s="12"/>
      <c r="H584" s="12"/>
      <c r="I584" s="12"/>
      <c r="J584" s="14"/>
      <c r="K584" s="12"/>
      <c r="L584" s="14"/>
      <c r="M584" s="12"/>
      <c r="N584" s="12"/>
      <c r="O584" s="14"/>
      <c r="P584" s="12"/>
      <c r="Q584" s="15"/>
      <c r="R584" s="15"/>
      <c r="S584" s="21"/>
      <c r="T584" s="12"/>
      <c r="U584" s="46"/>
      <c r="V584" s="23"/>
      <c r="W584" s="22" t="str">
        <f t="array" ref="W584">IF(A584="","",IFERROR(INDEX(PARAMETROS!$J$2:$J700,MATCH(H584,PARAMETROS!$E$2:$E700,0)),""))</f>
        <v/>
      </c>
      <c r="X584" s="23" t="str">
        <f t="shared" si="2"/>
        <v/>
      </c>
    </row>
    <row r="585" spans="1:24">
      <c r="A585" s="12"/>
      <c r="B585" s="12"/>
      <c r="C585" s="12"/>
      <c r="D585" s="12"/>
      <c r="E585" s="12"/>
      <c r="F585" s="12"/>
      <c r="G585" s="12"/>
      <c r="H585" s="12"/>
      <c r="I585" s="12"/>
      <c r="J585" s="14"/>
      <c r="K585" s="12"/>
      <c r="L585" s="14"/>
      <c r="M585" s="12"/>
      <c r="N585" s="12"/>
      <c r="O585" s="14"/>
      <c r="P585" s="12"/>
      <c r="Q585" s="15"/>
      <c r="R585" s="15"/>
      <c r="S585" s="21"/>
      <c r="T585" s="12"/>
      <c r="U585" s="46"/>
      <c r="V585" s="23"/>
      <c r="W585" s="22" t="str">
        <f t="array" ref="W585">IF(A585="","",IFERROR(INDEX(PARAMETROS!$J$2:$J700,MATCH(H585,PARAMETROS!$E$2:$E700,0)),""))</f>
        <v/>
      </c>
      <c r="X585" s="23" t="str">
        <f t="shared" si="2"/>
        <v/>
      </c>
    </row>
    <row r="586" spans="1:24">
      <c r="A586" s="12"/>
      <c r="B586" s="12"/>
      <c r="C586" s="12"/>
      <c r="D586" s="12"/>
      <c r="E586" s="12"/>
      <c r="F586" s="12"/>
      <c r="G586" s="12"/>
      <c r="H586" s="12"/>
      <c r="I586" s="12"/>
      <c r="J586" s="14"/>
      <c r="K586" s="12"/>
      <c r="L586" s="14"/>
      <c r="M586" s="12"/>
      <c r="N586" s="12"/>
      <c r="O586" s="14"/>
      <c r="P586" s="12"/>
      <c r="Q586" s="15"/>
      <c r="R586" s="15"/>
      <c r="S586" s="21"/>
      <c r="T586" s="12"/>
      <c r="U586" s="46"/>
      <c r="V586" s="23"/>
      <c r="W586" s="22" t="str">
        <f t="array" ref="W586">IF(A586="","",IFERROR(INDEX(PARAMETROS!$J$2:$J700,MATCH(H586,PARAMETROS!$E$2:$E700,0)),""))</f>
        <v/>
      </c>
      <c r="X586" s="23" t="str">
        <f t="shared" si="2"/>
        <v/>
      </c>
    </row>
    <row r="587" spans="1:24">
      <c r="A587" s="12"/>
      <c r="B587" s="12"/>
      <c r="C587" s="12"/>
      <c r="D587" s="12"/>
      <c r="E587" s="12"/>
      <c r="F587" s="12"/>
      <c r="G587" s="12"/>
      <c r="H587" s="12"/>
      <c r="I587" s="12"/>
      <c r="J587" s="14"/>
      <c r="K587" s="12"/>
      <c r="L587" s="14"/>
      <c r="M587" s="12"/>
      <c r="N587" s="12"/>
      <c r="O587" s="14"/>
      <c r="P587" s="12"/>
      <c r="Q587" s="15"/>
      <c r="R587" s="15"/>
      <c r="S587" s="21"/>
      <c r="T587" s="12"/>
      <c r="U587" s="46"/>
      <c r="V587" s="23"/>
      <c r="W587" s="22" t="str">
        <f t="array" ref="W587">IF(A587="","",IFERROR(INDEX(PARAMETROS!$J$2:$J700,MATCH(H587,PARAMETROS!$E$2:$E700,0)),""))</f>
        <v/>
      </c>
      <c r="X587" s="23" t="str">
        <f t="shared" si="2"/>
        <v/>
      </c>
    </row>
    <row r="588" spans="1:24">
      <c r="A588" s="12"/>
      <c r="B588" s="12"/>
      <c r="C588" s="12"/>
      <c r="D588" s="12"/>
      <c r="E588" s="12"/>
      <c r="F588" s="12"/>
      <c r="G588" s="12"/>
      <c r="H588" s="12"/>
      <c r="I588" s="12"/>
      <c r="J588" s="14"/>
      <c r="K588" s="12"/>
      <c r="L588" s="14"/>
      <c r="M588" s="12"/>
      <c r="N588" s="12"/>
      <c r="O588" s="14"/>
      <c r="P588" s="12"/>
      <c r="Q588" s="15"/>
      <c r="R588" s="15"/>
      <c r="S588" s="21"/>
      <c r="T588" s="12"/>
      <c r="U588" s="46"/>
      <c r="V588" s="23"/>
      <c r="W588" s="22" t="str">
        <f t="array" ref="W588">IF(A588="","",IFERROR(INDEX(PARAMETROS!$J$2:$J700,MATCH(H588,PARAMETROS!$E$2:$E700,0)),""))</f>
        <v/>
      </c>
      <c r="X588" s="23" t="str">
        <f t="shared" si="2"/>
        <v/>
      </c>
    </row>
    <row r="589" spans="1:24">
      <c r="A589" s="12"/>
      <c r="B589" s="12"/>
      <c r="C589" s="12"/>
      <c r="D589" s="12"/>
      <c r="E589" s="12"/>
      <c r="F589" s="12"/>
      <c r="G589" s="12"/>
      <c r="H589" s="12"/>
      <c r="I589" s="12"/>
      <c r="J589" s="14"/>
      <c r="K589" s="12"/>
      <c r="L589" s="14"/>
      <c r="M589" s="12"/>
      <c r="N589" s="12"/>
      <c r="O589" s="14"/>
      <c r="P589" s="12"/>
      <c r="Q589" s="15"/>
      <c r="R589" s="15"/>
      <c r="S589" s="21"/>
      <c r="T589" s="12"/>
      <c r="U589" s="46"/>
      <c r="V589" s="23"/>
      <c r="W589" s="22" t="str">
        <f t="array" ref="W589">IF(A589="","",IFERROR(INDEX(PARAMETROS!$J$2:$J700,MATCH(H589,PARAMETROS!$E$2:$E700,0)),""))</f>
        <v/>
      </c>
      <c r="X589" s="23" t="str">
        <f t="shared" si="2"/>
        <v/>
      </c>
    </row>
    <row r="590" spans="1:24">
      <c r="A590" s="12"/>
      <c r="B590" s="12"/>
      <c r="C590" s="12"/>
      <c r="D590" s="12"/>
      <c r="E590" s="12"/>
      <c r="F590" s="12"/>
      <c r="G590" s="12"/>
      <c r="H590" s="12"/>
      <c r="I590" s="12"/>
      <c r="J590" s="14"/>
      <c r="K590" s="12"/>
      <c r="L590" s="14"/>
      <c r="M590" s="12"/>
      <c r="N590" s="12"/>
      <c r="O590" s="14"/>
      <c r="P590" s="12"/>
      <c r="Q590" s="15"/>
      <c r="R590" s="15"/>
      <c r="S590" s="21"/>
      <c r="T590" s="12"/>
      <c r="U590" s="46"/>
      <c r="V590" s="23"/>
      <c r="W590" s="22" t="str">
        <f t="array" ref="W590">IF(A590="","",IFERROR(INDEX(PARAMETROS!$J$2:$J700,MATCH(H590,PARAMETROS!$E$2:$E700,0)),""))</f>
        <v/>
      </c>
      <c r="X590" s="23" t="str">
        <f t="shared" si="2"/>
        <v/>
      </c>
    </row>
    <row r="591" spans="1:24">
      <c r="A591" s="12"/>
      <c r="B591" s="12"/>
      <c r="C591" s="12"/>
      <c r="D591" s="12"/>
      <c r="E591" s="12"/>
      <c r="F591" s="12"/>
      <c r="G591" s="12"/>
      <c r="H591" s="12"/>
      <c r="I591" s="12"/>
      <c r="J591" s="14"/>
      <c r="K591" s="12"/>
      <c r="L591" s="14"/>
      <c r="M591" s="12"/>
      <c r="N591" s="12"/>
      <c r="O591" s="14"/>
      <c r="P591" s="12"/>
      <c r="Q591" s="15"/>
      <c r="R591" s="15"/>
      <c r="S591" s="21"/>
      <c r="T591" s="12"/>
      <c r="U591" s="46"/>
      <c r="V591" s="23"/>
      <c r="W591" s="22" t="str">
        <f t="array" ref="W591">IF(A591="","",IFERROR(INDEX(PARAMETROS!$J$2:$J700,MATCH(H591,PARAMETROS!$E$2:$E700,0)),""))</f>
        <v/>
      </c>
      <c r="X591" s="23" t="str">
        <f t="shared" si="2"/>
        <v/>
      </c>
    </row>
    <row r="592" spans="1:24">
      <c r="A592" s="12"/>
      <c r="B592" s="12"/>
      <c r="C592" s="12"/>
      <c r="D592" s="12"/>
      <c r="E592" s="12"/>
      <c r="F592" s="12"/>
      <c r="G592" s="12"/>
      <c r="H592" s="12"/>
      <c r="I592" s="12"/>
      <c r="J592" s="14"/>
      <c r="K592" s="12"/>
      <c r="L592" s="14"/>
      <c r="M592" s="12"/>
      <c r="N592" s="12"/>
      <c r="O592" s="14"/>
      <c r="P592" s="12"/>
      <c r="Q592" s="15"/>
      <c r="R592" s="15"/>
      <c r="S592" s="21"/>
      <c r="T592" s="12"/>
      <c r="U592" s="46"/>
      <c r="V592" s="23"/>
      <c r="W592" s="22" t="str">
        <f t="array" ref="W592">IF(A592="","",IFERROR(INDEX(PARAMETROS!$J$2:$J700,MATCH(H592,PARAMETROS!$E$2:$E700,0)),""))</f>
        <v/>
      </c>
      <c r="X592" s="23" t="str">
        <f t="shared" si="2"/>
        <v/>
      </c>
    </row>
    <row r="593" spans="1:24">
      <c r="A593" s="12"/>
      <c r="B593" s="12"/>
      <c r="C593" s="12"/>
      <c r="D593" s="12"/>
      <c r="E593" s="12"/>
      <c r="F593" s="12"/>
      <c r="G593" s="12"/>
      <c r="H593" s="12"/>
      <c r="I593" s="12"/>
      <c r="J593" s="14"/>
      <c r="K593" s="12"/>
      <c r="L593" s="14"/>
      <c r="M593" s="12"/>
      <c r="N593" s="12"/>
      <c r="O593" s="14"/>
      <c r="P593" s="12"/>
      <c r="Q593" s="15"/>
      <c r="R593" s="15"/>
      <c r="S593" s="21"/>
      <c r="T593" s="12"/>
      <c r="U593" s="46"/>
      <c r="V593" s="23"/>
      <c r="W593" s="22" t="str">
        <f t="array" ref="W593">IF(A593="","",IFERROR(INDEX(PARAMETROS!$J$2:$J700,MATCH(H593,PARAMETROS!$E$2:$E700,0)),""))</f>
        <v/>
      </c>
      <c r="X593" s="23" t="str">
        <f t="shared" si="2"/>
        <v/>
      </c>
    </row>
    <row r="594" spans="1:24">
      <c r="A594" s="12"/>
      <c r="B594" s="12"/>
      <c r="C594" s="12"/>
      <c r="D594" s="12"/>
      <c r="E594" s="12"/>
      <c r="F594" s="12"/>
      <c r="G594" s="12"/>
      <c r="H594" s="12"/>
      <c r="I594" s="12"/>
      <c r="J594" s="14"/>
      <c r="K594" s="12"/>
      <c r="L594" s="14"/>
      <c r="M594" s="12"/>
      <c r="N594" s="12"/>
      <c r="O594" s="14"/>
      <c r="P594" s="12"/>
      <c r="Q594" s="15"/>
      <c r="R594" s="15"/>
      <c r="S594" s="21"/>
      <c r="T594" s="12"/>
      <c r="U594" s="46"/>
      <c r="V594" s="23"/>
      <c r="W594" s="22" t="str">
        <f t="array" ref="W594">IF(A594="","",IFERROR(INDEX(PARAMETROS!$J$2:$J700,MATCH(H594,PARAMETROS!$E$2:$E700,0)),""))</f>
        <v/>
      </c>
      <c r="X594" s="23" t="str">
        <f t="shared" si="2"/>
        <v/>
      </c>
    </row>
    <row r="595" spans="1:24">
      <c r="A595" s="12"/>
      <c r="B595" s="12"/>
      <c r="C595" s="12"/>
      <c r="D595" s="12"/>
      <c r="E595" s="12"/>
      <c r="F595" s="12"/>
      <c r="G595" s="12"/>
      <c r="H595" s="12"/>
      <c r="I595" s="12"/>
      <c r="J595" s="14"/>
      <c r="K595" s="12"/>
      <c r="L595" s="14"/>
      <c r="M595" s="12"/>
      <c r="N595" s="12"/>
      <c r="O595" s="14"/>
      <c r="P595" s="12"/>
      <c r="Q595" s="15"/>
      <c r="R595" s="15"/>
      <c r="S595" s="21"/>
      <c r="T595" s="12"/>
      <c r="U595" s="46"/>
      <c r="V595" s="23"/>
      <c r="W595" s="22" t="str">
        <f t="array" ref="W595">IF(A595="","",IFERROR(INDEX(PARAMETROS!$J$2:$J700,MATCH(H595,PARAMETROS!$E$2:$E700,0)),""))</f>
        <v/>
      </c>
      <c r="X595" s="23" t="str">
        <f t="shared" si="2"/>
        <v/>
      </c>
    </row>
    <row r="596" spans="1:24">
      <c r="A596" s="12"/>
      <c r="B596" s="12"/>
      <c r="C596" s="12"/>
      <c r="D596" s="12"/>
      <c r="E596" s="12"/>
      <c r="F596" s="12"/>
      <c r="G596" s="12"/>
      <c r="H596" s="12"/>
      <c r="I596" s="12"/>
      <c r="J596" s="14"/>
      <c r="K596" s="12"/>
      <c r="L596" s="14"/>
      <c r="M596" s="12"/>
      <c r="N596" s="12"/>
      <c r="O596" s="14"/>
      <c r="P596" s="12"/>
      <c r="Q596" s="15"/>
      <c r="R596" s="15"/>
      <c r="S596" s="21"/>
      <c r="T596" s="12"/>
      <c r="U596" s="46"/>
      <c r="V596" s="23"/>
      <c r="W596" s="22" t="str">
        <f t="array" ref="W596">IF(A596="","",IFERROR(INDEX(PARAMETROS!$J$2:$J700,MATCH(H596,PARAMETROS!$E$2:$E700,0)),""))</f>
        <v/>
      </c>
      <c r="X596" s="23" t="str">
        <f t="shared" si="2"/>
        <v/>
      </c>
    </row>
    <row r="597" spans="1:24">
      <c r="A597" s="12"/>
      <c r="B597" s="12"/>
      <c r="C597" s="12"/>
      <c r="D597" s="12"/>
      <c r="E597" s="12"/>
      <c r="F597" s="12"/>
      <c r="G597" s="12"/>
      <c r="H597" s="12"/>
      <c r="I597" s="12"/>
      <c r="J597" s="14"/>
      <c r="K597" s="12"/>
      <c r="L597" s="14"/>
      <c r="M597" s="12"/>
      <c r="N597" s="12"/>
      <c r="O597" s="14"/>
      <c r="P597" s="12"/>
      <c r="Q597" s="15"/>
      <c r="R597" s="15"/>
      <c r="S597" s="21"/>
      <c r="T597" s="12"/>
      <c r="U597" s="46"/>
      <c r="V597" s="23"/>
      <c r="W597" s="22" t="str">
        <f t="array" ref="W597">IF(A597="","",IFERROR(INDEX(PARAMETROS!$J$2:$J700,MATCH(H597,PARAMETROS!$E$2:$E700,0)),""))</f>
        <v/>
      </c>
      <c r="X597" s="23" t="str">
        <f t="shared" si="2"/>
        <v/>
      </c>
    </row>
    <row r="598" spans="1:24">
      <c r="A598" s="12"/>
      <c r="B598" s="12"/>
      <c r="C598" s="12"/>
      <c r="D598" s="12"/>
      <c r="E598" s="12"/>
      <c r="F598" s="12"/>
      <c r="G598" s="12"/>
      <c r="H598" s="12"/>
      <c r="I598" s="12"/>
      <c r="J598" s="14"/>
      <c r="K598" s="12"/>
      <c r="L598" s="14"/>
      <c r="M598" s="12"/>
      <c r="N598" s="12"/>
      <c r="O598" s="14"/>
      <c r="P598" s="12"/>
      <c r="Q598" s="15"/>
      <c r="R598" s="15"/>
      <c r="S598" s="21"/>
      <c r="T598" s="12"/>
      <c r="U598" s="46"/>
      <c r="V598" s="23"/>
      <c r="W598" s="22" t="str">
        <f t="array" ref="W598">IF(A598="","",IFERROR(INDEX(PARAMETROS!$J$2:$J700,MATCH(H598,PARAMETROS!$E$2:$E700,0)),""))</f>
        <v/>
      </c>
      <c r="X598" s="23" t="str">
        <f t="shared" si="2"/>
        <v/>
      </c>
    </row>
    <row r="599" spans="1:24">
      <c r="A599" s="12"/>
      <c r="B599" s="12"/>
      <c r="C599" s="12"/>
      <c r="D599" s="12"/>
      <c r="E599" s="12"/>
      <c r="F599" s="12"/>
      <c r="G599" s="12"/>
      <c r="H599" s="12"/>
      <c r="I599" s="12"/>
      <c r="J599" s="14"/>
      <c r="K599" s="12"/>
      <c r="L599" s="14"/>
      <c r="M599" s="12"/>
      <c r="N599" s="12"/>
      <c r="O599" s="14"/>
      <c r="P599" s="12"/>
      <c r="Q599" s="15"/>
      <c r="R599" s="15"/>
      <c r="S599" s="21"/>
      <c r="T599" s="12"/>
      <c r="U599" s="46"/>
      <c r="V599" s="23"/>
      <c r="W599" s="22" t="str">
        <f t="array" ref="W599">IF(A599="","",IFERROR(INDEX(PARAMETROS!$J$2:$J700,MATCH(H599,PARAMETROS!$E$2:$E700,0)),""))</f>
        <v/>
      </c>
      <c r="X599" s="23" t="str">
        <f t="shared" si="2"/>
        <v/>
      </c>
    </row>
    <row r="600" spans="1:24">
      <c r="A600" s="12"/>
      <c r="B600" s="12"/>
      <c r="C600" s="12"/>
      <c r="D600" s="12"/>
      <c r="E600" s="12"/>
      <c r="F600" s="12"/>
      <c r="G600" s="12"/>
      <c r="H600" s="12"/>
      <c r="I600" s="12"/>
      <c r="J600" s="14"/>
      <c r="K600" s="12"/>
      <c r="L600" s="14"/>
      <c r="M600" s="12"/>
      <c r="N600" s="12"/>
      <c r="O600" s="14"/>
      <c r="P600" s="12"/>
      <c r="Q600" s="15"/>
      <c r="R600" s="15"/>
      <c r="S600" s="21"/>
      <c r="T600" s="12"/>
      <c r="U600" s="46"/>
      <c r="V600" s="23"/>
      <c r="W600" s="22" t="str">
        <f t="array" ref="W600">IF(A600="","",IFERROR(INDEX(PARAMETROS!$J$2:$J700,MATCH(H600,PARAMETROS!$E$2:$E700,0)),""))</f>
        <v/>
      </c>
      <c r="X600" s="23" t="str">
        <f t="shared" si="2"/>
        <v/>
      </c>
    </row>
    <row r="601" spans="1:24">
      <c r="A601" s="12"/>
      <c r="B601" s="12"/>
      <c r="C601" s="12"/>
      <c r="D601" s="12"/>
      <c r="E601" s="12"/>
      <c r="F601" s="12"/>
      <c r="G601" s="12"/>
      <c r="H601" s="12"/>
      <c r="I601" s="12"/>
      <c r="J601" s="14"/>
      <c r="K601" s="12"/>
      <c r="L601" s="14"/>
      <c r="M601" s="12"/>
      <c r="N601" s="12"/>
      <c r="O601" s="14"/>
      <c r="P601" s="12"/>
      <c r="Q601" s="15"/>
      <c r="R601" s="15"/>
      <c r="S601" s="21"/>
      <c r="T601" s="12"/>
      <c r="U601" s="46"/>
      <c r="V601" s="23"/>
      <c r="W601" s="22" t="str">
        <f t="array" ref="W601">IF(A601="","",IFERROR(INDEX(PARAMETROS!$J$2:$J700,MATCH(H601,PARAMETROS!$E$2:$E700,0)),""))</f>
        <v/>
      </c>
      <c r="X601" s="23" t="str">
        <f t="shared" si="2"/>
        <v/>
      </c>
    </row>
    <row r="602" spans="1:24">
      <c r="A602" s="12"/>
      <c r="B602" s="12"/>
      <c r="C602" s="12"/>
      <c r="D602" s="12"/>
      <c r="E602" s="12"/>
      <c r="F602" s="12"/>
      <c r="G602" s="12"/>
      <c r="H602" s="12"/>
      <c r="I602" s="12"/>
      <c r="J602" s="14"/>
      <c r="K602" s="12"/>
      <c r="L602" s="14"/>
      <c r="M602" s="12"/>
      <c r="N602" s="12"/>
      <c r="O602" s="14"/>
      <c r="P602" s="12"/>
      <c r="Q602" s="15"/>
      <c r="R602" s="15"/>
      <c r="S602" s="21"/>
      <c r="T602" s="12"/>
      <c r="U602" s="46"/>
      <c r="V602" s="23"/>
      <c r="W602" s="22" t="str">
        <f t="array" ref="W602">IF(A602="","",IFERROR(INDEX(PARAMETROS!$J$2:$J700,MATCH(H602,PARAMETROS!$E$2:$E700,0)),""))</f>
        <v/>
      </c>
      <c r="X602" s="23" t="str">
        <f t="shared" si="2"/>
        <v/>
      </c>
    </row>
    <row r="603" spans="1:24">
      <c r="A603" s="12"/>
      <c r="B603" s="12"/>
      <c r="C603" s="12"/>
      <c r="D603" s="12"/>
      <c r="E603" s="12"/>
      <c r="F603" s="12"/>
      <c r="G603" s="12"/>
      <c r="H603" s="12"/>
      <c r="I603" s="12"/>
      <c r="J603" s="14"/>
      <c r="K603" s="12"/>
      <c r="L603" s="14"/>
      <c r="M603" s="12"/>
      <c r="N603" s="12"/>
      <c r="O603" s="14"/>
      <c r="P603" s="12"/>
      <c r="Q603" s="15"/>
      <c r="R603" s="15"/>
      <c r="S603" s="21"/>
      <c r="T603" s="12"/>
      <c r="U603" s="46"/>
      <c r="V603" s="23"/>
      <c r="W603" s="22" t="str">
        <f t="array" ref="W603">IF(A603="","",IFERROR(INDEX(PARAMETROS!$J$2:$J700,MATCH(H603,PARAMETROS!$E$2:$E700,0)),""))</f>
        <v/>
      </c>
      <c r="X603" s="23" t="str">
        <f t="shared" si="2"/>
        <v/>
      </c>
    </row>
    <row r="604" spans="1:24">
      <c r="A604" s="12"/>
      <c r="B604" s="12"/>
      <c r="C604" s="12"/>
      <c r="D604" s="12"/>
      <c r="E604" s="12"/>
      <c r="F604" s="12"/>
      <c r="G604" s="12"/>
      <c r="H604" s="12"/>
      <c r="I604" s="12"/>
      <c r="J604" s="14"/>
      <c r="K604" s="12"/>
      <c r="L604" s="14"/>
      <c r="M604" s="12"/>
      <c r="N604" s="12"/>
      <c r="O604" s="14"/>
      <c r="P604" s="12"/>
      <c r="Q604" s="15"/>
      <c r="R604" s="15"/>
      <c r="S604" s="21"/>
      <c r="T604" s="12"/>
      <c r="U604" s="46"/>
      <c r="V604" s="23"/>
      <c r="W604" s="22" t="str">
        <f t="array" ref="W604">IF(A604="","",IFERROR(INDEX(PARAMETROS!$J$2:$J700,MATCH(H604,PARAMETROS!$E$2:$E700,0)),""))</f>
        <v/>
      </c>
      <c r="X604" s="23" t="str">
        <f t="shared" si="2"/>
        <v/>
      </c>
    </row>
    <row r="605" spans="1:24">
      <c r="A605" s="12"/>
      <c r="B605" s="12"/>
      <c r="C605" s="12"/>
      <c r="D605" s="12"/>
      <c r="E605" s="12"/>
      <c r="F605" s="12"/>
      <c r="G605" s="12"/>
      <c r="H605" s="12"/>
      <c r="I605" s="12"/>
      <c r="J605" s="14"/>
      <c r="K605" s="12"/>
      <c r="L605" s="14"/>
      <c r="M605" s="12"/>
      <c r="N605" s="12"/>
      <c r="O605" s="14"/>
      <c r="P605" s="12"/>
      <c r="Q605" s="15"/>
      <c r="R605" s="15"/>
      <c r="S605" s="21"/>
      <c r="T605" s="12"/>
      <c r="U605" s="46"/>
      <c r="V605" s="23"/>
      <c r="W605" s="22" t="str">
        <f t="array" ref="W605">IF(A605="","",IFERROR(INDEX(PARAMETROS!$J$2:$J700,MATCH(H605,PARAMETROS!$E$2:$E700,0)),""))</f>
        <v/>
      </c>
      <c r="X605" s="23" t="str">
        <f t="shared" si="2"/>
        <v/>
      </c>
    </row>
    <row r="606" spans="1:24">
      <c r="A606" s="12"/>
      <c r="B606" s="12"/>
      <c r="C606" s="12"/>
      <c r="D606" s="12"/>
      <c r="E606" s="12"/>
      <c r="F606" s="12"/>
      <c r="G606" s="12"/>
      <c r="H606" s="12"/>
      <c r="I606" s="12"/>
      <c r="J606" s="14"/>
      <c r="K606" s="12"/>
      <c r="L606" s="14"/>
      <c r="M606" s="12"/>
      <c r="N606" s="12"/>
      <c r="O606" s="14"/>
      <c r="P606" s="12"/>
      <c r="Q606" s="15"/>
      <c r="R606" s="15"/>
      <c r="S606" s="21"/>
      <c r="T606" s="12"/>
      <c r="U606" s="46"/>
      <c r="V606" s="23"/>
      <c r="W606" s="22" t="str">
        <f t="array" ref="W606">IF(A606="","",IFERROR(INDEX(PARAMETROS!$J$2:$J700,MATCH(H606,PARAMETROS!$E$2:$E700,0)),""))</f>
        <v/>
      </c>
      <c r="X606" s="23" t="str">
        <f t="shared" si="2"/>
        <v/>
      </c>
    </row>
    <row r="607" spans="1:24">
      <c r="A607" s="12"/>
      <c r="B607" s="12"/>
      <c r="C607" s="12"/>
      <c r="D607" s="12"/>
      <c r="E607" s="12"/>
      <c r="F607" s="12"/>
      <c r="G607" s="12"/>
      <c r="H607" s="12"/>
      <c r="I607" s="12"/>
      <c r="J607" s="14"/>
      <c r="K607" s="12"/>
      <c r="L607" s="14"/>
      <c r="M607" s="12"/>
      <c r="N607" s="12"/>
      <c r="O607" s="14"/>
      <c r="P607" s="12"/>
      <c r="Q607" s="15"/>
      <c r="R607" s="15"/>
      <c r="S607" s="21"/>
      <c r="T607" s="12"/>
      <c r="U607" s="46"/>
      <c r="V607" s="23"/>
      <c r="W607" s="22" t="str">
        <f t="array" ref="W607">IF(A607="","",IFERROR(INDEX(PARAMETROS!$J$2:$J700,MATCH(H607,PARAMETROS!$E$2:$E700,0)),""))</f>
        <v/>
      </c>
      <c r="X607" s="23" t="str">
        <f t="shared" si="2"/>
        <v/>
      </c>
    </row>
    <row r="608" spans="1:24">
      <c r="A608" s="12"/>
      <c r="B608" s="12"/>
      <c r="C608" s="12"/>
      <c r="D608" s="12"/>
      <c r="E608" s="12"/>
      <c r="F608" s="12"/>
      <c r="G608" s="12"/>
      <c r="H608" s="12"/>
      <c r="I608" s="12"/>
      <c r="J608" s="14"/>
      <c r="K608" s="12"/>
      <c r="L608" s="14"/>
      <c r="M608" s="12"/>
      <c r="N608" s="12"/>
      <c r="O608" s="14"/>
      <c r="P608" s="12"/>
      <c r="Q608" s="15"/>
      <c r="R608" s="15"/>
      <c r="S608" s="21"/>
      <c r="T608" s="12"/>
      <c r="U608" s="46"/>
      <c r="V608" s="23"/>
      <c r="W608" s="22" t="str">
        <f t="array" ref="W608">IF(A608="","",IFERROR(INDEX(PARAMETROS!$J$2:$J700,MATCH(H608,PARAMETROS!$E$2:$E700,0)),""))</f>
        <v/>
      </c>
      <c r="X608" s="23" t="str">
        <f t="shared" si="2"/>
        <v/>
      </c>
    </row>
    <row r="609" spans="1:24">
      <c r="A609" s="12"/>
      <c r="B609" s="12"/>
      <c r="C609" s="12"/>
      <c r="D609" s="12"/>
      <c r="E609" s="12"/>
      <c r="F609" s="12"/>
      <c r="G609" s="12"/>
      <c r="H609" s="12"/>
      <c r="I609" s="12"/>
      <c r="J609" s="14"/>
      <c r="K609" s="12"/>
      <c r="L609" s="14"/>
      <c r="M609" s="12"/>
      <c r="N609" s="12"/>
      <c r="O609" s="14"/>
      <c r="P609" s="12"/>
      <c r="Q609" s="15"/>
      <c r="R609" s="15"/>
      <c r="S609" s="21"/>
      <c r="T609" s="12"/>
      <c r="U609" s="46"/>
      <c r="V609" s="23"/>
      <c r="W609" s="22" t="str">
        <f t="array" ref="W609">IF(A609="","",IFERROR(INDEX(PARAMETROS!$J$2:$J700,MATCH(H609,PARAMETROS!$E$2:$E700,0)),""))</f>
        <v/>
      </c>
      <c r="X609" s="23" t="str">
        <f t="shared" si="2"/>
        <v/>
      </c>
    </row>
    <row r="610" spans="1:24">
      <c r="A610" s="12"/>
      <c r="B610" s="12"/>
      <c r="C610" s="12"/>
      <c r="D610" s="12"/>
      <c r="E610" s="12"/>
      <c r="F610" s="12"/>
      <c r="G610" s="12"/>
      <c r="H610" s="12"/>
      <c r="I610" s="12"/>
      <c r="J610" s="14"/>
      <c r="K610" s="12"/>
      <c r="L610" s="14"/>
      <c r="M610" s="12"/>
      <c r="N610" s="12"/>
      <c r="O610" s="14"/>
      <c r="P610" s="12"/>
      <c r="Q610" s="15"/>
      <c r="R610" s="15"/>
      <c r="S610" s="21"/>
      <c r="T610" s="12"/>
      <c r="U610" s="46"/>
      <c r="V610" s="23"/>
      <c r="W610" s="22" t="str">
        <f t="array" ref="W610">IF(A610="","",IFERROR(INDEX(PARAMETROS!$J$2:$J700,MATCH(H610,PARAMETROS!$E$2:$E700,0)),""))</f>
        <v/>
      </c>
      <c r="X610" s="23" t="str">
        <f t="shared" si="2"/>
        <v/>
      </c>
    </row>
    <row r="611" spans="1:24">
      <c r="A611" s="12"/>
      <c r="B611" s="12"/>
      <c r="C611" s="12"/>
      <c r="D611" s="12"/>
      <c r="E611" s="12"/>
      <c r="F611" s="12"/>
      <c r="G611" s="12"/>
      <c r="H611" s="12"/>
      <c r="I611" s="12"/>
      <c r="J611" s="14"/>
      <c r="K611" s="12"/>
      <c r="L611" s="14"/>
      <c r="M611" s="12"/>
      <c r="N611" s="12"/>
      <c r="O611" s="14"/>
      <c r="P611" s="12"/>
      <c r="Q611" s="15"/>
      <c r="R611" s="15"/>
      <c r="S611" s="21"/>
      <c r="T611" s="12"/>
      <c r="U611" s="46"/>
      <c r="V611" s="23"/>
      <c r="W611" s="22" t="str">
        <f t="array" ref="W611">IF(A611="","",IFERROR(INDEX(PARAMETROS!$J$2:$J700,MATCH(H611,PARAMETROS!$E$2:$E700,0)),""))</f>
        <v/>
      </c>
      <c r="X611" s="23" t="str">
        <f t="shared" si="2"/>
        <v/>
      </c>
    </row>
    <row r="612" spans="1:24">
      <c r="A612" s="12"/>
      <c r="B612" s="12"/>
      <c r="C612" s="12"/>
      <c r="D612" s="12"/>
      <c r="E612" s="12"/>
      <c r="F612" s="12"/>
      <c r="G612" s="12"/>
      <c r="H612" s="12"/>
      <c r="I612" s="12"/>
      <c r="J612" s="14"/>
      <c r="K612" s="12"/>
      <c r="L612" s="14"/>
      <c r="M612" s="12"/>
      <c r="N612" s="12"/>
      <c r="O612" s="14"/>
      <c r="P612" s="12"/>
      <c r="Q612" s="15"/>
      <c r="R612" s="15"/>
      <c r="S612" s="21"/>
      <c r="T612" s="12"/>
      <c r="U612" s="46"/>
      <c r="V612" s="23"/>
      <c r="W612" s="22" t="str">
        <f t="array" ref="W612">IF(A612="","",IFERROR(INDEX(PARAMETROS!$J$2:$J700,MATCH(H612,PARAMETROS!$E$2:$E700,0)),""))</f>
        <v/>
      </c>
      <c r="X612" s="23" t="str">
        <f t="shared" si="2"/>
        <v/>
      </c>
    </row>
    <row r="613" spans="1:24">
      <c r="A613" s="12"/>
      <c r="B613" s="12"/>
      <c r="C613" s="12"/>
      <c r="D613" s="12"/>
      <c r="E613" s="12"/>
      <c r="F613" s="12"/>
      <c r="G613" s="12"/>
      <c r="H613" s="12"/>
      <c r="I613" s="12"/>
      <c r="J613" s="14"/>
      <c r="K613" s="12"/>
      <c r="L613" s="14"/>
      <c r="M613" s="12"/>
      <c r="N613" s="12"/>
      <c r="O613" s="14"/>
      <c r="P613" s="12"/>
      <c r="Q613" s="15"/>
      <c r="R613" s="15"/>
      <c r="S613" s="21"/>
      <c r="T613" s="12"/>
      <c r="U613" s="46"/>
      <c r="V613" s="23"/>
      <c r="W613" s="22" t="str">
        <f t="array" ref="W613">IF(A613="","",IFERROR(INDEX(PARAMETROS!$J$2:$J700,MATCH(H613,PARAMETROS!$E$2:$E700,0)),""))</f>
        <v/>
      </c>
      <c r="X613" s="23" t="str">
        <f t="shared" si="2"/>
        <v/>
      </c>
    </row>
    <row r="614" spans="1:24">
      <c r="A614" s="12"/>
      <c r="B614" s="12"/>
      <c r="C614" s="12"/>
      <c r="D614" s="12"/>
      <c r="E614" s="12"/>
      <c r="F614" s="12"/>
      <c r="G614" s="12"/>
      <c r="H614" s="12"/>
      <c r="I614" s="12"/>
      <c r="J614" s="14"/>
      <c r="K614" s="12"/>
      <c r="L614" s="14"/>
      <c r="M614" s="12"/>
      <c r="N614" s="12"/>
      <c r="O614" s="14"/>
      <c r="P614" s="12"/>
      <c r="Q614" s="15"/>
      <c r="R614" s="15"/>
      <c r="S614" s="21"/>
      <c r="T614" s="12"/>
      <c r="U614" s="46"/>
      <c r="V614" s="23"/>
      <c r="W614" s="22" t="str">
        <f t="array" ref="W614">IF(A614="","",IFERROR(INDEX(PARAMETROS!$J$2:$J700,MATCH(H614,PARAMETROS!$E$2:$E700,0)),""))</f>
        <v/>
      </c>
      <c r="X614" s="23" t="str">
        <f t="shared" si="2"/>
        <v/>
      </c>
    </row>
    <row r="615" spans="1:24">
      <c r="A615" s="12"/>
      <c r="B615" s="12"/>
      <c r="C615" s="12"/>
      <c r="D615" s="12"/>
      <c r="E615" s="12"/>
      <c r="F615" s="12"/>
      <c r="G615" s="12"/>
      <c r="H615" s="12"/>
      <c r="I615" s="12"/>
      <c r="J615" s="14"/>
      <c r="K615" s="12"/>
      <c r="L615" s="14"/>
      <c r="M615" s="12"/>
      <c r="N615" s="12"/>
      <c r="O615" s="14"/>
      <c r="P615" s="12"/>
      <c r="Q615" s="15"/>
      <c r="R615" s="15"/>
      <c r="S615" s="21"/>
      <c r="T615" s="12"/>
      <c r="U615" s="46"/>
      <c r="V615" s="23"/>
      <c r="W615" s="22" t="str">
        <f t="array" ref="W615">IF(A615="","",IFERROR(INDEX(PARAMETROS!$J$2:$J700,MATCH(H615,PARAMETROS!$E$2:$E700,0)),""))</f>
        <v/>
      </c>
      <c r="X615" s="23" t="str">
        <f t="shared" si="2"/>
        <v/>
      </c>
    </row>
    <row r="616" spans="1:24">
      <c r="A616" s="12"/>
      <c r="B616" s="12"/>
      <c r="C616" s="12"/>
      <c r="D616" s="12"/>
      <c r="E616" s="12"/>
      <c r="F616" s="12"/>
      <c r="G616" s="12"/>
      <c r="H616" s="12"/>
      <c r="I616" s="12"/>
      <c r="J616" s="14"/>
      <c r="K616" s="12"/>
      <c r="L616" s="14"/>
      <c r="M616" s="12"/>
      <c r="N616" s="12"/>
      <c r="O616" s="14"/>
      <c r="P616" s="12"/>
      <c r="Q616" s="15"/>
      <c r="R616" s="15"/>
      <c r="S616" s="21"/>
      <c r="T616" s="12"/>
      <c r="U616" s="46"/>
      <c r="V616" s="23"/>
      <c r="W616" s="22" t="str">
        <f t="array" ref="W616">IF(A616="","",IFERROR(INDEX(PARAMETROS!$J$2:$J700,MATCH(H616,PARAMETROS!$E$2:$E700,0)),""))</f>
        <v/>
      </c>
      <c r="X616" s="23" t="str">
        <f t="shared" si="2"/>
        <v/>
      </c>
    </row>
    <row r="617" spans="1:24">
      <c r="A617" s="12"/>
      <c r="B617" s="12"/>
      <c r="C617" s="12"/>
      <c r="D617" s="12"/>
      <c r="E617" s="12"/>
      <c r="F617" s="12"/>
      <c r="G617" s="12"/>
      <c r="H617" s="12"/>
      <c r="I617" s="12"/>
      <c r="J617" s="14"/>
      <c r="K617" s="12"/>
      <c r="L617" s="14"/>
      <c r="M617" s="12"/>
      <c r="N617" s="12"/>
      <c r="O617" s="14"/>
      <c r="P617" s="12"/>
      <c r="Q617" s="15"/>
      <c r="R617" s="15"/>
      <c r="S617" s="21"/>
      <c r="T617" s="12"/>
      <c r="U617" s="46"/>
      <c r="V617" s="23"/>
      <c r="W617" s="22" t="str">
        <f t="array" ref="W617">IF(A617="","",IFERROR(INDEX(PARAMETROS!$J$2:$J700,MATCH(H617,PARAMETROS!$E$2:$E700,0)),""))</f>
        <v/>
      </c>
      <c r="X617" s="23" t="str">
        <f t="shared" si="2"/>
        <v/>
      </c>
    </row>
    <row r="618" spans="1:24">
      <c r="A618" s="12"/>
      <c r="B618" s="12"/>
      <c r="C618" s="12"/>
      <c r="D618" s="12"/>
      <c r="E618" s="12"/>
      <c r="F618" s="12"/>
      <c r="G618" s="12"/>
      <c r="H618" s="12"/>
      <c r="I618" s="12"/>
      <c r="J618" s="14"/>
      <c r="K618" s="12"/>
      <c r="L618" s="14"/>
      <c r="M618" s="12"/>
      <c r="N618" s="12"/>
      <c r="O618" s="14"/>
      <c r="P618" s="12"/>
      <c r="Q618" s="15"/>
      <c r="R618" s="15"/>
      <c r="S618" s="21"/>
      <c r="T618" s="12"/>
      <c r="U618" s="46"/>
      <c r="V618" s="23"/>
      <c r="W618" s="22" t="str">
        <f t="array" ref="W618">IF(A618="","",IFERROR(INDEX(PARAMETROS!$J$2:$J700,MATCH(H618,PARAMETROS!$E$2:$E700,0)),""))</f>
        <v/>
      </c>
      <c r="X618" s="23" t="str">
        <f t="shared" si="2"/>
        <v/>
      </c>
    </row>
    <row r="619" spans="1:24">
      <c r="A619" s="12"/>
      <c r="B619" s="12"/>
      <c r="C619" s="12"/>
      <c r="D619" s="12"/>
      <c r="E619" s="12"/>
      <c r="F619" s="12"/>
      <c r="G619" s="12"/>
      <c r="H619" s="12"/>
      <c r="I619" s="12"/>
      <c r="J619" s="14"/>
      <c r="K619" s="12"/>
      <c r="L619" s="14"/>
      <c r="M619" s="12"/>
      <c r="N619" s="12"/>
      <c r="O619" s="14"/>
      <c r="P619" s="12"/>
      <c r="Q619" s="15"/>
      <c r="R619" s="15"/>
      <c r="S619" s="21"/>
      <c r="T619" s="12"/>
      <c r="U619" s="46"/>
      <c r="V619" s="23"/>
      <c r="W619" s="22" t="str">
        <f t="array" ref="W619">IF(A619="","",IFERROR(INDEX(PARAMETROS!$J$2:$J700,MATCH(H619,PARAMETROS!$E$2:$E700,0)),""))</f>
        <v/>
      </c>
      <c r="X619" s="23" t="str">
        <f t="shared" si="2"/>
        <v/>
      </c>
    </row>
    <row r="620" spans="1:24">
      <c r="A620" s="12"/>
      <c r="B620" s="12"/>
      <c r="C620" s="12"/>
      <c r="D620" s="12"/>
      <c r="E620" s="12"/>
      <c r="F620" s="12"/>
      <c r="G620" s="12"/>
      <c r="H620" s="12"/>
      <c r="I620" s="12"/>
      <c r="J620" s="14"/>
      <c r="K620" s="12"/>
      <c r="L620" s="14"/>
      <c r="M620" s="12"/>
      <c r="N620" s="12"/>
      <c r="O620" s="14"/>
      <c r="P620" s="12"/>
      <c r="Q620" s="15"/>
      <c r="R620" s="15"/>
      <c r="S620" s="21"/>
      <c r="T620" s="12"/>
      <c r="U620" s="46"/>
      <c r="V620" s="23"/>
      <c r="W620" s="22" t="str">
        <f t="array" ref="W620">IF(A620="","",IFERROR(INDEX(PARAMETROS!$J$2:$J700,MATCH(H620,PARAMETROS!$E$2:$E700,0)),""))</f>
        <v/>
      </c>
      <c r="X620" s="23" t="str">
        <f t="shared" si="2"/>
        <v/>
      </c>
    </row>
    <row r="621" spans="1:24">
      <c r="A621" s="12"/>
      <c r="B621" s="12"/>
      <c r="C621" s="12"/>
      <c r="D621" s="12"/>
      <c r="E621" s="12"/>
      <c r="F621" s="12"/>
      <c r="G621" s="12"/>
      <c r="H621" s="12"/>
      <c r="I621" s="12"/>
      <c r="J621" s="14"/>
      <c r="K621" s="12"/>
      <c r="L621" s="14"/>
      <c r="M621" s="12"/>
      <c r="N621" s="12"/>
      <c r="O621" s="14"/>
      <c r="P621" s="12"/>
      <c r="Q621" s="15"/>
      <c r="R621" s="15"/>
      <c r="S621" s="21"/>
      <c r="T621" s="12"/>
      <c r="U621" s="46"/>
      <c r="V621" s="23"/>
      <c r="W621" s="22" t="str">
        <f t="array" ref="W621">IF(A621="","",IFERROR(INDEX(PARAMETROS!$J$2:$J700,MATCH(H621,PARAMETROS!$E$2:$E700,0)),""))</f>
        <v/>
      </c>
      <c r="X621" s="23" t="str">
        <f t="shared" si="2"/>
        <v/>
      </c>
    </row>
    <row r="622" spans="1:24">
      <c r="A622" s="12"/>
      <c r="B622" s="12"/>
      <c r="C622" s="12"/>
      <c r="D622" s="12"/>
      <c r="E622" s="12"/>
      <c r="F622" s="12"/>
      <c r="G622" s="12"/>
      <c r="H622" s="12"/>
      <c r="I622" s="12"/>
      <c r="J622" s="14"/>
      <c r="K622" s="12"/>
      <c r="L622" s="14"/>
      <c r="M622" s="12"/>
      <c r="N622" s="12"/>
      <c r="O622" s="14"/>
      <c r="P622" s="12"/>
      <c r="Q622" s="15"/>
      <c r="R622" s="15"/>
      <c r="S622" s="21"/>
      <c r="T622" s="12"/>
      <c r="U622" s="46"/>
      <c r="V622" s="23"/>
      <c r="W622" s="22" t="str">
        <f t="array" ref="W622">IF(A622="","",IFERROR(INDEX(PARAMETROS!$J$2:$J700,MATCH(H622,PARAMETROS!$E$2:$E700,0)),""))</f>
        <v/>
      </c>
      <c r="X622" s="23" t="str">
        <f t="shared" si="2"/>
        <v/>
      </c>
    </row>
    <row r="623" spans="1:24">
      <c r="A623" s="12"/>
      <c r="B623" s="12"/>
      <c r="C623" s="12"/>
      <c r="D623" s="12"/>
      <c r="E623" s="12"/>
      <c r="F623" s="12"/>
      <c r="G623" s="12"/>
      <c r="H623" s="12"/>
      <c r="I623" s="12"/>
      <c r="J623" s="14"/>
      <c r="K623" s="12"/>
      <c r="L623" s="14"/>
      <c r="M623" s="12"/>
      <c r="N623" s="12"/>
      <c r="O623" s="14"/>
      <c r="P623" s="12"/>
      <c r="Q623" s="15"/>
      <c r="R623" s="15"/>
      <c r="S623" s="21"/>
      <c r="T623" s="12"/>
      <c r="U623" s="46"/>
      <c r="V623" s="23"/>
      <c r="W623" s="22" t="str">
        <f t="array" ref="W623">IF(A623="","",IFERROR(INDEX(PARAMETROS!$J$2:$J700,MATCH(H623,PARAMETROS!$E$2:$E700,0)),""))</f>
        <v/>
      </c>
      <c r="X623" s="23" t="str">
        <f t="shared" si="2"/>
        <v/>
      </c>
    </row>
    <row r="624" spans="1:24">
      <c r="A624" s="12"/>
      <c r="B624" s="12"/>
      <c r="C624" s="12"/>
      <c r="D624" s="12"/>
      <c r="E624" s="12"/>
      <c r="F624" s="12"/>
      <c r="G624" s="12"/>
      <c r="H624" s="12"/>
      <c r="I624" s="12"/>
      <c r="J624" s="14"/>
      <c r="K624" s="12"/>
      <c r="L624" s="14"/>
      <c r="M624" s="12"/>
      <c r="N624" s="12"/>
      <c r="O624" s="14"/>
      <c r="P624" s="12"/>
      <c r="Q624" s="15"/>
      <c r="R624" s="15"/>
      <c r="S624" s="21"/>
      <c r="T624" s="12"/>
      <c r="U624" s="46"/>
      <c r="V624" s="23"/>
      <c r="W624" s="22" t="str">
        <f t="array" ref="W624">IF(A624="","",IFERROR(INDEX(PARAMETROS!$J$2:$J700,MATCH(H624,PARAMETROS!$E$2:$E700,0)),""))</f>
        <v/>
      </c>
      <c r="X624" s="23" t="str">
        <f t="shared" si="2"/>
        <v/>
      </c>
    </row>
    <row r="625" spans="1:24">
      <c r="A625" s="12"/>
      <c r="B625" s="12"/>
      <c r="C625" s="12"/>
      <c r="D625" s="12"/>
      <c r="E625" s="12"/>
      <c r="F625" s="12"/>
      <c r="G625" s="12"/>
      <c r="H625" s="12"/>
      <c r="I625" s="12"/>
      <c r="J625" s="14"/>
      <c r="K625" s="12"/>
      <c r="L625" s="14"/>
      <c r="M625" s="12"/>
      <c r="N625" s="12"/>
      <c r="O625" s="14"/>
      <c r="P625" s="12"/>
      <c r="Q625" s="15"/>
      <c r="R625" s="15"/>
      <c r="S625" s="21"/>
      <c r="T625" s="12"/>
      <c r="U625" s="46"/>
      <c r="V625" s="23"/>
      <c r="W625" s="22" t="str">
        <f t="array" ref="W625">IF(A625="","",IFERROR(INDEX(PARAMETROS!$J$2:$J700,MATCH(H625,PARAMETROS!$E$2:$E700,0)),""))</f>
        <v/>
      </c>
      <c r="X625" s="23" t="str">
        <f t="shared" si="2"/>
        <v/>
      </c>
    </row>
    <row r="626" spans="1:24">
      <c r="A626" s="12"/>
      <c r="B626" s="12"/>
      <c r="C626" s="12"/>
      <c r="D626" s="12"/>
      <c r="E626" s="12"/>
      <c r="F626" s="12"/>
      <c r="G626" s="12"/>
      <c r="H626" s="12"/>
      <c r="I626" s="12"/>
      <c r="J626" s="14"/>
      <c r="K626" s="12"/>
      <c r="L626" s="14"/>
      <c r="M626" s="12"/>
      <c r="N626" s="12"/>
      <c r="O626" s="14"/>
      <c r="P626" s="12"/>
      <c r="Q626" s="15"/>
      <c r="R626" s="15"/>
      <c r="S626" s="21"/>
      <c r="T626" s="12"/>
      <c r="U626" s="46"/>
      <c r="V626" s="23"/>
      <c r="W626" s="22" t="str">
        <f t="array" ref="W626">IF(A626="","",IFERROR(INDEX(PARAMETROS!$J$2:$J700,MATCH(H626,PARAMETROS!$E$2:$E700,0)),""))</f>
        <v/>
      </c>
      <c r="X626" s="23" t="str">
        <f t="shared" si="2"/>
        <v/>
      </c>
    </row>
    <row r="627" spans="1:24">
      <c r="A627" s="12"/>
      <c r="B627" s="12"/>
      <c r="C627" s="12"/>
      <c r="D627" s="12"/>
      <c r="E627" s="12"/>
      <c r="F627" s="12"/>
      <c r="G627" s="12"/>
      <c r="H627" s="12"/>
      <c r="I627" s="12"/>
      <c r="J627" s="14"/>
      <c r="K627" s="12"/>
      <c r="L627" s="14"/>
      <c r="M627" s="12"/>
      <c r="N627" s="12"/>
      <c r="O627" s="14"/>
      <c r="P627" s="12"/>
      <c r="Q627" s="15"/>
      <c r="R627" s="15"/>
      <c r="S627" s="21"/>
      <c r="T627" s="12"/>
      <c r="U627" s="46"/>
      <c r="V627" s="23"/>
      <c r="W627" s="22" t="str">
        <f t="array" ref="W627">IF(A627="","",IFERROR(INDEX(PARAMETROS!$J$2:$J700,MATCH(H627,PARAMETROS!$E$2:$E700,0)),""))</f>
        <v/>
      </c>
      <c r="X627" s="23" t="str">
        <f t="shared" si="2"/>
        <v/>
      </c>
    </row>
    <row r="628" spans="1:24">
      <c r="A628" s="12"/>
      <c r="B628" s="12"/>
      <c r="C628" s="12"/>
      <c r="D628" s="12"/>
      <c r="E628" s="12"/>
      <c r="F628" s="12"/>
      <c r="G628" s="12"/>
      <c r="H628" s="12"/>
      <c r="I628" s="12"/>
      <c r="J628" s="14"/>
      <c r="K628" s="12"/>
      <c r="L628" s="14"/>
      <c r="M628" s="12"/>
      <c r="N628" s="12"/>
      <c r="O628" s="14"/>
      <c r="P628" s="12"/>
      <c r="Q628" s="15"/>
      <c r="R628" s="15"/>
      <c r="S628" s="21"/>
      <c r="T628" s="12"/>
      <c r="U628" s="46"/>
      <c r="V628" s="23"/>
      <c r="W628" s="22" t="str">
        <f t="array" ref="W628">IF(A628="","",IFERROR(INDEX(PARAMETROS!$J$2:$J700,MATCH(H628,PARAMETROS!$E$2:$E700,0)),""))</f>
        <v/>
      </c>
      <c r="X628" s="23" t="str">
        <f t="shared" si="2"/>
        <v/>
      </c>
    </row>
    <row r="629" spans="1:24">
      <c r="A629" s="12"/>
      <c r="B629" s="12"/>
      <c r="C629" s="12"/>
      <c r="D629" s="12"/>
      <c r="E629" s="12"/>
      <c r="F629" s="12"/>
      <c r="G629" s="12"/>
      <c r="H629" s="12"/>
      <c r="I629" s="12"/>
      <c r="J629" s="14"/>
      <c r="K629" s="12"/>
      <c r="L629" s="14"/>
      <c r="M629" s="12"/>
      <c r="N629" s="12"/>
      <c r="O629" s="14"/>
      <c r="P629" s="12"/>
      <c r="Q629" s="15"/>
      <c r="R629" s="15"/>
      <c r="S629" s="21"/>
      <c r="T629" s="12"/>
      <c r="U629" s="46"/>
      <c r="V629" s="23"/>
      <c r="W629" s="22" t="str">
        <f t="array" ref="W629">IF(A629="","",IFERROR(INDEX(PARAMETROS!$J$2:$J700,MATCH(H629,PARAMETROS!$E$2:$E700,0)),""))</f>
        <v/>
      </c>
      <c r="X629" s="23" t="str">
        <f t="shared" si="2"/>
        <v/>
      </c>
    </row>
    <row r="630" spans="1:24">
      <c r="A630" s="12"/>
      <c r="B630" s="12"/>
      <c r="C630" s="12"/>
      <c r="D630" s="12"/>
      <c r="E630" s="12"/>
      <c r="F630" s="12"/>
      <c r="G630" s="12"/>
      <c r="H630" s="12"/>
      <c r="I630" s="12"/>
      <c r="J630" s="14"/>
      <c r="K630" s="12"/>
      <c r="L630" s="14"/>
      <c r="M630" s="12"/>
      <c r="N630" s="12"/>
      <c r="O630" s="14"/>
      <c r="P630" s="12"/>
      <c r="Q630" s="15"/>
      <c r="R630" s="15"/>
      <c r="S630" s="21"/>
      <c r="T630" s="12"/>
      <c r="U630" s="46"/>
      <c r="V630" s="23"/>
      <c r="W630" s="22" t="str">
        <f t="array" ref="W630">IF(A630="","",IFERROR(INDEX(PARAMETROS!$J$2:$J700,MATCH(H630,PARAMETROS!$E$2:$E700,0)),""))</f>
        <v/>
      </c>
      <c r="X630" s="23" t="str">
        <f t="shared" si="2"/>
        <v/>
      </c>
    </row>
    <row r="631" spans="1:24">
      <c r="A631" s="12"/>
      <c r="B631" s="12"/>
      <c r="C631" s="12"/>
      <c r="D631" s="12"/>
      <c r="E631" s="12"/>
      <c r="F631" s="12"/>
      <c r="G631" s="12"/>
      <c r="H631" s="12"/>
      <c r="I631" s="12"/>
      <c r="J631" s="14"/>
      <c r="K631" s="12"/>
      <c r="L631" s="14"/>
      <c r="M631" s="12"/>
      <c r="N631" s="12"/>
      <c r="O631" s="14"/>
      <c r="P631" s="12"/>
      <c r="Q631" s="15"/>
      <c r="R631" s="15"/>
      <c r="S631" s="21"/>
      <c r="T631" s="12"/>
      <c r="U631" s="46"/>
      <c r="V631" s="23"/>
      <c r="W631" s="22" t="str">
        <f t="array" ref="W631">IF(A631="","",IFERROR(INDEX(PARAMETROS!$J$2:$J700,MATCH(H631,PARAMETROS!$E$2:$E700,0)),""))</f>
        <v/>
      </c>
      <c r="X631" s="23" t="str">
        <f t="shared" si="2"/>
        <v/>
      </c>
    </row>
    <row r="632" spans="1:24">
      <c r="A632" s="12"/>
      <c r="B632" s="12"/>
      <c r="C632" s="12"/>
      <c r="D632" s="12"/>
      <c r="E632" s="12"/>
      <c r="F632" s="12"/>
      <c r="G632" s="12"/>
      <c r="H632" s="12"/>
      <c r="I632" s="12"/>
      <c r="J632" s="14"/>
      <c r="K632" s="12"/>
      <c r="L632" s="14"/>
      <c r="M632" s="12"/>
      <c r="N632" s="12"/>
      <c r="O632" s="14"/>
      <c r="P632" s="12"/>
      <c r="Q632" s="15"/>
      <c r="R632" s="15"/>
      <c r="S632" s="21"/>
      <c r="T632" s="12"/>
      <c r="U632" s="46"/>
      <c r="V632" s="23"/>
      <c r="W632" s="22" t="str">
        <f t="array" ref="W632">IF(A632="","",IFERROR(INDEX(PARAMETROS!$J$2:$J700,MATCH(H632,PARAMETROS!$E$2:$E700,0)),""))</f>
        <v/>
      </c>
      <c r="X632" s="23" t="str">
        <f t="shared" si="2"/>
        <v/>
      </c>
    </row>
    <row r="633" spans="1:24">
      <c r="A633" s="12"/>
      <c r="B633" s="12"/>
      <c r="C633" s="12"/>
      <c r="D633" s="12"/>
      <c r="E633" s="12"/>
      <c r="F633" s="12"/>
      <c r="G633" s="12"/>
      <c r="H633" s="12"/>
      <c r="I633" s="12"/>
      <c r="J633" s="14"/>
      <c r="K633" s="12"/>
      <c r="L633" s="14"/>
      <c r="M633" s="12"/>
      <c r="N633" s="12"/>
      <c r="O633" s="14"/>
      <c r="P633" s="12"/>
      <c r="Q633" s="15"/>
      <c r="R633" s="15"/>
      <c r="S633" s="21"/>
      <c r="T633" s="12"/>
      <c r="U633" s="46"/>
      <c r="V633" s="23"/>
      <c r="W633" s="22" t="str">
        <f t="array" ref="W633">IF(A633="","",IFERROR(INDEX(PARAMETROS!$J$2:$J700,MATCH(H633,PARAMETROS!$E$2:$E700,0)),""))</f>
        <v/>
      </c>
      <c r="X633" s="23" t="str">
        <f t="shared" si="2"/>
        <v/>
      </c>
    </row>
    <row r="634" spans="1:24">
      <c r="A634" s="12"/>
      <c r="B634" s="12"/>
      <c r="C634" s="12"/>
      <c r="D634" s="12"/>
      <c r="E634" s="12"/>
      <c r="F634" s="12"/>
      <c r="G634" s="12"/>
      <c r="H634" s="12"/>
      <c r="I634" s="12"/>
      <c r="J634" s="14"/>
      <c r="K634" s="12"/>
      <c r="L634" s="14"/>
      <c r="M634" s="12"/>
      <c r="N634" s="12"/>
      <c r="O634" s="14"/>
      <c r="P634" s="12"/>
      <c r="Q634" s="15"/>
      <c r="R634" s="15"/>
      <c r="S634" s="21"/>
      <c r="T634" s="12"/>
      <c r="U634" s="46"/>
      <c r="V634" s="23"/>
      <c r="W634" s="22" t="str">
        <f t="array" ref="W634">IF(A634="","",IFERROR(INDEX(PARAMETROS!$J$2:$J700,MATCH(H634,PARAMETROS!$E$2:$E700,0)),""))</f>
        <v/>
      </c>
      <c r="X634" s="23" t="str">
        <f t="shared" si="2"/>
        <v/>
      </c>
    </row>
    <row r="635" spans="1:24">
      <c r="A635" s="12"/>
      <c r="B635" s="12"/>
      <c r="C635" s="12"/>
      <c r="D635" s="12"/>
      <c r="E635" s="12"/>
      <c r="F635" s="12"/>
      <c r="G635" s="12"/>
      <c r="H635" s="12"/>
      <c r="I635" s="12"/>
      <c r="J635" s="14"/>
      <c r="K635" s="12"/>
      <c r="L635" s="14"/>
      <c r="M635" s="12"/>
      <c r="N635" s="12"/>
      <c r="O635" s="14"/>
      <c r="P635" s="12"/>
      <c r="Q635" s="15"/>
      <c r="R635" s="15"/>
      <c r="S635" s="21"/>
      <c r="T635" s="12"/>
      <c r="U635" s="46"/>
      <c r="V635" s="23"/>
      <c r="W635" s="22" t="str">
        <f t="array" ref="W635">IF(A635="","",IFERROR(INDEX(PARAMETROS!$J$2:$J700,MATCH(H635,PARAMETROS!$E$2:$E700,0)),""))</f>
        <v/>
      </c>
      <c r="X635" s="23" t="str">
        <f t="shared" si="2"/>
        <v/>
      </c>
    </row>
    <row r="636" spans="1:24">
      <c r="A636" s="12"/>
      <c r="B636" s="12"/>
      <c r="C636" s="12"/>
      <c r="D636" s="12"/>
      <c r="E636" s="12"/>
      <c r="F636" s="12"/>
      <c r="G636" s="12"/>
      <c r="H636" s="12"/>
      <c r="I636" s="12"/>
      <c r="J636" s="14"/>
      <c r="K636" s="12"/>
      <c r="L636" s="14"/>
      <c r="M636" s="12"/>
      <c r="N636" s="12"/>
      <c r="O636" s="14"/>
      <c r="P636" s="12"/>
      <c r="Q636" s="15"/>
      <c r="R636" s="15"/>
      <c r="S636" s="21"/>
      <c r="T636" s="12"/>
      <c r="U636" s="46"/>
      <c r="V636" s="23"/>
      <c r="W636" s="22" t="str">
        <f t="array" ref="W636">IF(A636="","",IFERROR(INDEX(PARAMETROS!$J$2:$J700,MATCH(H636,PARAMETROS!$E$2:$E700,0)),""))</f>
        <v/>
      </c>
      <c r="X636" s="23" t="str">
        <f t="shared" si="2"/>
        <v/>
      </c>
    </row>
    <row r="637" spans="1:24">
      <c r="A637" s="12"/>
      <c r="B637" s="12"/>
      <c r="C637" s="12"/>
      <c r="D637" s="12"/>
      <c r="E637" s="12"/>
      <c r="F637" s="12"/>
      <c r="G637" s="12"/>
      <c r="H637" s="12"/>
      <c r="I637" s="12"/>
      <c r="J637" s="14"/>
      <c r="K637" s="12"/>
      <c r="L637" s="14"/>
      <c r="M637" s="12"/>
      <c r="N637" s="12"/>
      <c r="O637" s="14"/>
      <c r="P637" s="12"/>
      <c r="Q637" s="15"/>
      <c r="R637" s="15"/>
      <c r="S637" s="21"/>
      <c r="T637" s="12"/>
      <c r="U637" s="46"/>
      <c r="V637" s="23"/>
      <c r="W637" s="22" t="str">
        <f t="array" ref="W637">IF(A637="","",IFERROR(INDEX(PARAMETROS!$J$2:$J700,MATCH(H637,PARAMETROS!$E$2:$E700,0)),""))</f>
        <v/>
      </c>
      <c r="X637" s="23" t="str">
        <f t="shared" si="2"/>
        <v/>
      </c>
    </row>
    <row r="638" spans="1:24">
      <c r="A638" s="12"/>
      <c r="B638" s="12"/>
      <c r="C638" s="12"/>
      <c r="D638" s="12"/>
      <c r="E638" s="12"/>
      <c r="F638" s="12"/>
      <c r="G638" s="12"/>
      <c r="H638" s="12"/>
      <c r="I638" s="12"/>
      <c r="J638" s="14"/>
      <c r="K638" s="12"/>
      <c r="L638" s="14"/>
      <c r="M638" s="12"/>
      <c r="N638" s="12"/>
      <c r="O638" s="14"/>
      <c r="P638" s="12"/>
      <c r="Q638" s="15"/>
      <c r="R638" s="15"/>
      <c r="S638" s="21"/>
      <c r="T638" s="12"/>
      <c r="U638" s="46"/>
      <c r="V638" s="23"/>
      <c r="W638" s="22" t="str">
        <f t="array" ref="W638">IF(A638="","",IFERROR(INDEX(PARAMETROS!$J$2:$J700,MATCH(H638,PARAMETROS!$E$2:$E700,0)),""))</f>
        <v/>
      </c>
      <c r="X638" s="23" t="str">
        <f t="shared" si="2"/>
        <v/>
      </c>
    </row>
    <row r="639" spans="1:24">
      <c r="A639" s="12"/>
      <c r="B639" s="12"/>
      <c r="C639" s="12"/>
      <c r="D639" s="12"/>
      <c r="E639" s="12"/>
      <c r="F639" s="12"/>
      <c r="G639" s="12"/>
      <c r="H639" s="12"/>
      <c r="I639" s="12"/>
      <c r="J639" s="14"/>
      <c r="K639" s="12"/>
      <c r="L639" s="14"/>
      <c r="M639" s="12"/>
      <c r="N639" s="12"/>
      <c r="O639" s="14"/>
      <c r="P639" s="12"/>
      <c r="Q639" s="15"/>
      <c r="R639" s="15"/>
      <c r="S639" s="21"/>
      <c r="T639" s="12"/>
      <c r="U639" s="46"/>
      <c r="V639" s="23"/>
      <c r="W639" s="22" t="str">
        <f t="array" ref="W639">IF(A639="","",IFERROR(INDEX(PARAMETROS!$J$2:$J700,MATCH(H639,PARAMETROS!$E$2:$E700,0)),""))</f>
        <v/>
      </c>
      <c r="X639" s="23" t="str">
        <f t="shared" si="2"/>
        <v/>
      </c>
    </row>
    <row r="640" spans="1:24">
      <c r="A640" s="12"/>
      <c r="B640" s="12"/>
      <c r="C640" s="12"/>
      <c r="D640" s="12"/>
      <c r="E640" s="12"/>
      <c r="F640" s="12"/>
      <c r="G640" s="12"/>
      <c r="H640" s="12"/>
      <c r="I640" s="12"/>
      <c r="J640" s="14"/>
      <c r="K640" s="12"/>
      <c r="L640" s="14"/>
      <c r="M640" s="12"/>
      <c r="N640" s="12"/>
      <c r="O640" s="14"/>
      <c r="P640" s="12"/>
      <c r="Q640" s="15"/>
      <c r="R640" s="15"/>
      <c r="S640" s="21"/>
      <c r="T640" s="12"/>
      <c r="U640" s="46"/>
      <c r="V640" s="23"/>
      <c r="W640" s="22" t="str">
        <f t="array" ref="W640">IF(A640="","",IFERROR(INDEX(PARAMETROS!$J$2:$J700,MATCH(H640,PARAMETROS!$E$2:$E700,0)),""))</f>
        <v/>
      </c>
      <c r="X640" s="23" t="str">
        <f t="shared" si="2"/>
        <v/>
      </c>
    </row>
    <row r="641" spans="1:24">
      <c r="A641" s="12"/>
      <c r="B641" s="12"/>
      <c r="C641" s="12"/>
      <c r="D641" s="12"/>
      <c r="E641" s="12"/>
      <c r="F641" s="12"/>
      <c r="G641" s="12"/>
      <c r="H641" s="12"/>
      <c r="I641" s="12"/>
      <c r="J641" s="14"/>
      <c r="K641" s="12"/>
      <c r="L641" s="14"/>
      <c r="M641" s="12"/>
      <c r="N641" s="12"/>
      <c r="O641" s="14"/>
      <c r="P641" s="12"/>
      <c r="Q641" s="15"/>
      <c r="R641" s="15"/>
      <c r="S641" s="21"/>
      <c r="T641" s="12"/>
      <c r="U641" s="46"/>
      <c r="V641" s="23"/>
      <c r="W641" s="22" t="str">
        <f t="array" ref="W641">IF(A641="","",IFERROR(INDEX(PARAMETROS!$J$2:$J700,MATCH(H641,PARAMETROS!$E$2:$E700,0)),""))</f>
        <v/>
      </c>
      <c r="X641" s="23" t="str">
        <f t="shared" si="2"/>
        <v/>
      </c>
    </row>
    <row r="642" spans="1:24">
      <c r="A642" s="12"/>
      <c r="B642" s="12"/>
      <c r="C642" s="12"/>
      <c r="D642" s="12"/>
      <c r="E642" s="12"/>
      <c r="F642" s="12"/>
      <c r="G642" s="12"/>
      <c r="H642" s="12"/>
      <c r="I642" s="12"/>
      <c r="J642" s="14"/>
      <c r="K642" s="12"/>
      <c r="L642" s="14"/>
      <c r="M642" s="12"/>
      <c r="N642" s="12"/>
      <c r="O642" s="14"/>
      <c r="P642" s="12"/>
      <c r="Q642" s="15"/>
      <c r="R642" s="15"/>
      <c r="S642" s="21"/>
      <c r="T642" s="12"/>
      <c r="U642" s="46"/>
      <c r="V642" s="23"/>
      <c r="W642" s="22" t="str">
        <f t="array" ref="W642">IF(A642="","",IFERROR(INDEX(PARAMETROS!$J$2:$J700,MATCH(H642,PARAMETROS!$E$2:$E700,0)),""))</f>
        <v/>
      </c>
      <c r="X642" s="23" t="str">
        <f t="shared" si="2"/>
        <v/>
      </c>
    </row>
    <row r="643" spans="1:24">
      <c r="A643" s="12"/>
      <c r="B643" s="12"/>
      <c r="C643" s="12"/>
      <c r="D643" s="12"/>
      <c r="E643" s="12"/>
      <c r="F643" s="12"/>
      <c r="G643" s="12"/>
      <c r="H643" s="12"/>
      <c r="I643" s="12"/>
      <c r="J643" s="14"/>
      <c r="K643" s="12"/>
      <c r="L643" s="14"/>
      <c r="M643" s="12"/>
      <c r="N643" s="12"/>
      <c r="O643" s="14"/>
      <c r="P643" s="12"/>
      <c r="Q643" s="15"/>
      <c r="R643" s="15"/>
      <c r="S643" s="21"/>
      <c r="T643" s="12"/>
      <c r="U643" s="46"/>
      <c r="V643" s="23"/>
      <c r="W643" s="22" t="str">
        <f t="array" ref="W643">IF(A643="","",IFERROR(INDEX(PARAMETROS!$J$2:$J700,MATCH(H643,PARAMETROS!$E$2:$E700,0)),""))</f>
        <v/>
      </c>
      <c r="X643" s="23" t="str">
        <f t="shared" si="2"/>
        <v/>
      </c>
    </row>
    <row r="644" spans="1:24">
      <c r="A644" s="12"/>
      <c r="B644" s="12"/>
      <c r="C644" s="12"/>
      <c r="D644" s="12"/>
      <c r="E644" s="12"/>
      <c r="F644" s="12"/>
      <c r="G644" s="12"/>
      <c r="H644" s="12"/>
      <c r="I644" s="12"/>
      <c r="J644" s="14"/>
      <c r="K644" s="12"/>
      <c r="L644" s="14"/>
      <c r="M644" s="12"/>
      <c r="N644" s="12"/>
      <c r="O644" s="14"/>
      <c r="P644" s="12"/>
      <c r="Q644" s="15"/>
      <c r="R644" s="15"/>
      <c r="S644" s="21"/>
      <c r="T644" s="12"/>
      <c r="U644" s="46"/>
      <c r="V644" s="23"/>
      <c r="W644" s="22" t="str">
        <f t="array" ref="W644">IF(A644="","",IFERROR(INDEX(PARAMETROS!$J$2:$J700,MATCH(H644,PARAMETROS!$E$2:$E700,0)),""))</f>
        <v/>
      </c>
      <c r="X644" s="23" t="str">
        <f t="shared" si="2"/>
        <v/>
      </c>
    </row>
    <row r="645" spans="1:24">
      <c r="A645" s="12"/>
      <c r="B645" s="12"/>
      <c r="C645" s="12"/>
      <c r="D645" s="12"/>
      <c r="E645" s="12"/>
      <c r="F645" s="12"/>
      <c r="G645" s="12"/>
      <c r="H645" s="12"/>
      <c r="I645" s="12"/>
      <c r="J645" s="14"/>
      <c r="K645" s="12"/>
      <c r="L645" s="14"/>
      <c r="M645" s="12"/>
      <c r="N645" s="12"/>
      <c r="O645" s="14"/>
      <c r="P645" s="12"/>
      <c r="Q645" s="15"/>
      <c r="R645" s="15"/>
      <c r="S645" s="21"/>
      <c r="T645" s="12"/>
      <c r="U645" s="46"/>
      <c r="V645" s="23"/>
      <c r="W645" s="22" t="str">
        <f t="array" ref="W645">IF(A645="","",IFERROR(INDEX(PARAMETROS!$J$2:$J700,MATCH(H645,PARAMETROS!$E$2:$E700,0)),""))</f>
        <v/>
      </c>
      <c r="X645" s="23" t="str">
        <f t="shared" si="2"/>
        <v/>
      </c>
    </row>
    <row r="646" spans="1:24">
      <c r="A646" s="12"/>
      <c r="B646" s="12"/>
      <c r="C646" s="12"/>
      <c r="D646" s="12"/>
      <c r="E646" s="12"/>
      <c r="F646" s="12"/>
      <c r="G646" s="12"/>
      <c r="H646" s="12"/>
      <c r="I646" s="12"/>
      <c r="J646" s="14"/>
      <c r="K646" s="12"/>
      <c r="L646" s="14"/>
      <c r="M646" s="12"/>
      <c r="N646" s="12"/>
      <c r="O646" s="14"/>
      <c r="P646" s="12"/>
      <c r="Q646" s="15"/>
      <c r="R646" s="15"/>
      <c r="S646" s="21"/>
      <c r="T646" s="12"/>
      <c r="U646" s="46"/>
      <c r="V646" s="23"/>
      <c r="W646" s="22" t="str">
        <f t="array" ref="W646">IF(A646="","",IFERROR(INDEX(PARAMETROS!$J$2:$J700,MATCH(H646,PARAMETROS!$E$2:$E700,0)),""))</f>
        <v/>
      </c>
      <c r="X646" s="23" t="str">
        <f t="shared" si="2"/>
        <v/>
      </c>
    </row>
    <row r="647" spans="1:24">
      <c r="A647" s="12"/>
      <c r="B647" s="12"/>
      <c r="C647" s="12"/>
      <c r="D647" s="12"/>
      <c r="E647" s="12"/>
      <c r="F647" s="12"/>
      <c r="G647" s="12"/>
      <c r="H647" s="12"/>
      <c r="I647" s="12"/>
      <c r="J647" s="14"/>
      <c r="K647" s="12"/>
      <c r="L647" s="14"/>
      <c r="M647" s="12"/>
      <c r="N647" s="12"/>
      <c r="O647" s="14"/>
      <c r="P647" s="12"/>
      <c r="Q647" s="15"/>
      <c r="R647" s="15"/>
      <c r="S647" s="21"/>
      <c r="T647" s="12"/>
      <c r="U647" s="46"/>
      <c r="V647" s="23"/>
      <c r="W647" s="22" t="str">
        <f t="array" ref="W647">IF(A647="","",IFERROR(INDEX(PARAMETROS!$J$2:$J700,MATCH(H647,PARAMETROS!$E$2:$E700,0)),""))</f>
        <v/>
      </c>
      <c r="X647" s="23" t="str">
        <f t="shared" si="2"/>
        <v/>
      </c>
    </row>
    <row r="648" spans="1:24">
      <c r="A648" s="12"/>
      <c r="B648" s="12"/>
      <c r="C648" s="12"/>
      <c r="D648" s="12"/>
      <c r="E648" s="12"/>
      <c r="F648" s="12"/>
      <c r="G648" s="12"/>
      <c r="H648" s="12"/>
      <c r="I648" s="12"/>
      <c r="J648" s="14"/>
      <c r="K648" s="12"/>
      <c r="L648" s="14"/>
      <c r="M648" s="12"/>
      <c r="N648" s="12"/>
      <c r="O648" s="14"/>
      <c r="P648" s="12"/>
      <c r="Q648" s="15"/>
      <c r="R648" s="15"/>
      <c r="S648" s="21"/>
      <c r="T648" s="12"/>
      <c r="U648" s="46"/>
      <c r="V648" s="23"/>
      <c r="W648" s="22" t="str">
        <f t="array" ref="W648">IF(A648="","",IFERROR(INDEX(PARAMETROS!$J$2:$J700,MATCH(H648,PARAMETROS!$E$2:$E700,0)),""))</f>
        <v/>
      </c>
      <c r="X648" s="23" t="str">
        <f t="shared" si="2"/>
        <v/>
      </c>
    </row>
    <row r="649" spans="1:24">
      <c r="A649" s="12"/>
      <c r="B649" s="12"/>
      <c r="C649" s="12"/>
      <c r="D649" s="12"/>
      <c r="E649" s="12"/>
      <c r="F649" s="12"/>
      <c r="G649" s="12"/>
      <c r="H649" s="12"/>
      <c r="I649" s="12"/>
      <c r="J649" s="14"/>
      <c r="K649" s="12"/>
      <c r="L649" s="14"/>
      <c r="M649" s="12"/>
      <c r="N649" s="12"/>
      <c r="O649" s="14"/>
      <c r="P649" s="12"/>
      <c r="Q649" s="15"/>
      <c r="R649" s="15"/>
      <c r="S649" s="21"/>
      <c r="T649" s="12"/>
      <c r="U649" s="46"/>
      <c r="V649" s="23"/>
      <c r="W649" s="22" t="str">
        <f t="array" ref="W649">IF(A649="","",IFERROR(INDEX(PARAMETROS!$J$2:$J700,MATCH(H649,PARAMETROS!$E$2:$E700,0)),""))</f>
        <v/>
      </c>
      <c r="X649" s="23" t="str">
        <f t="shared" si="2"/>
        <v/>
      </c>
    </row>
    <row r="650" spans="1:24">
      <c r="A650" s="12"/>
      <c r="B650" s="12"/>
      <c r="C650" s="12"/>
      <c r="D650" s="12"/>
      <c r="E650" s="12"/>
      <c r="F650" s="12"/>
      <c r="G650" s="12"/>
      <c r="H650" s="12"/>
      <c r="I650" s="12"/>
      <c r="J650" s="14"/>
      <c r="K650" s="12"/>
      <c r="L650" s="14"/>
      <c r="M650" s="12"/>
      <c r="N650" s="12"/>
      <c r="O650" s="14"/>
      <c r="P650" s="12"/>
      <c r="Q650" s="15"/>
      <c r="R650" s="15"/>
      <c r="S650" s="21"/>
      <c r="T650" s="12"/>
      <c r="U650" s="46"/>
      <c r="V650" s="23"/>
      <c r="W650" s="22" t="str">
        <f t="array" ref="W650">IF(A650="","",IFERROR(INDEX(PARAMETROS!$J$2:$J700,MATCH(H650,PARAMETROS!$E$2:$E700,0)),""))</f>
        <v/>
      </c>
      <c r="X650" s="23" t="str">
        <f t="shared" si="2"/>
        <v/>
      </c>
    </row>
    <row r="651" spans="1:24">
      <c r="A651" s="12"/>
      <c r="B651" s="12"/>
      <c r="C651" s="12"/>
      <c r="D651" s="12"/>
      <c r="E651" s="12"/>
      <c r="F651" s="12"/>
      <c r="G651" s="12"/>
      <c r="H651" s="12"/>
      <c r="I651" s="12"/>
      <c r="J651" s="14"/>
      <c r="K651" s="12"/>
      <c r="L651" s="14"/>
      <c r="M651" s="12"/>
      <c r="N651" s="12"/>
      <c r="O651" s="14"/>
      <c r="P651" s="12"/>
      <c r="Q651" s="15"/>
      <c r="R651" s="15"/>
      <c r="S651" s="21"/>
      <c r="T651" s="12"/>
      <c r="U651" s="46"/>
      <c r="V651" s="23"/>
      <c r="W651" s="22" t="str">
        <f t="array" ref="W651">IF(A651="","",IFERROR(INDEX(PARAMETROS!$J$2:$J700,MATCH(H651,PARAMETROS!$E$2:$E700,0)),""))</f>
        <v/>
      </c>
      <c r="X651" s="23" t="str">
        <f t="shared" si="2"/>
        <v/>
      </c>
    </row>
    <row r="652" spans="1:24">
      <c r="A652" s="12"/>
      <c r="B652" s="12"/>
      <c r="C652" s="12"/>
      <c r="D652" s="12"/>
      <c r="E652" s="12"/>
      <c r="F652" s="12"/>
      <c r="G652" s="12"/>
      <c r="H652" s="12"/>
      <c r="I652" s="12"/>
      <c r="J652" s="14"/>
      <c r="K652" s="12"/>
      <c r="L652" s="14"/>
      <c r="M652" s="12"/>
      <c r="N652" s="12"/>
      <c r="O652" s="14"/>
      <c r="P652" s="12"/>
      <c r="Q652" s="15"/>
      <c r="R652" s="15"/>
      <c r="S652" s="21"/>
      <c r="T652" s="12"/>
      <c r="U652" s="46"/>
      <c r="V652" s="23"/>
      <c r="W652" s="22" t="str">
        <f t="array" ref="W652">IF(A652="","",IFERROR(INDEX(PARAMETROS!$J$2:$J700,MATCH(H652,PARAMETROS!$E$2:$E700,0)),""))</f>
        <v/>
      </c>
      <c r="X652" s="23" t="str">
        <f t="shared" si="2"/>
        <v/>
      </c>
    </row>
    <row r="653" spans="1:24">
      <c r="A653" s="12"/>
      <c r="B653" s="12"/>
      <c r="C653" s="12"/>
      <c r="D653" s="12"/>
      <c r="E653" s="12"/>
      <c r="F653" s="12"/>
      <c r="G653" s="12"/>
      <c r="H653" s="12"/>
      <c r="I653" s="12"/>
      <c r="J653" s="14"/>
      <c r="K653" s="12"/>
      <c r="L653" s="14"/>
      <c r="M653" s="12"/>
      <c r="N653" s="12"/>
      <c r="O653" s="14"/>
      <c r="P653" s="12"/>
      <c r="Q653" s="15"/>
      <c r="R653" s="15"/>
      <c r="S653" s="21"/>
      <c r="T653" s="12"/>
      <c r="U653" s="46"/>
      <c r="V653" s="23"/>
      <c r="W653" s="22" t="str">
        <f t="array" ref="W653">IF(A653="","",IFERROR(INDEX(PARAMETROS!$J$2:$J700,MATCH(H653,PARAMETROS!$E$2:$E700,0)),""))</f>
        <v/>
      </c>
      <c r="X653" s="23" t="str">
        <f t="shared" si="2"/>
        <v/>
      </c>
    </row>
    <row r="654" spans="1:24">
      <c r="A654" s="12"/>
      <c r="B654" s="12"/>
      <c r="C654" s="12"/>
      <c r="D654" s="12"/>
      <c r="E654" s="12"/>
      <c r="F654" s="12"/>
      <c r="G654" s="12"/>
      <c r="H654" s="12"/>
      <c r="I654" s="12"/>
      <c r="J654" s="14"/>
      <c r="K654" s="12"/>
      <c r="L654" s="14"/>
      <c r="M654" s="12"/>
      <c r="N654" s="12"/>
      <c r="O654" s="14"/>
      <c r="P654" s="12"/>
      <c r="Q654" s="15"/>
      <c r="R654" s="15"/>
      <c r="S654" s="21"/>
      <c r="T654" s="12"/>
      <c r="U654" s="46"/>
      <c r="V654" s="23"/>
      <c r="W654" s="22" t="str">
        <f t="array" ref="W654">IF(A654="","",IFERROR(INDEX(PARAMETROS!$J$2:$J700,MATCH(H654,PARAMETROS!$E$2:$E700,0)),""))</f>
        <v/>
      </c>
      <c r="X654" s="23" t="str">
        <f t="shared" si="2"/>
        <v/>
      </c>
    </row>
    <row r="655" spans="1:24">
      <c r="A655" s="12"/>
      <c r="B655" s="12"/>
      <c r="C655" s="12"/>
      <c r="D655" s="12"/>
      <c r="E655" s="12"/>
      <c r="F655" s="12"/>
      <c r="G655" s="12"/>
      <c r="H655" s="12"/>
      <c r="I655" s="12"/>
      <c r="J655" s="14"/>
      <c r="K655" s="12"/>
      <c r="L655" s="14"/>
      <c r="M655" s="12"/>
      <c r="N655" s="12"/>
      <c r="O655" s="14"/>
      <c r="P655" s="12"/>
      <c r="Q655" s="15"/>
      <c r="R655" s="15"/>
      <c r="S655" s="21"/>
      <c r="T655" s="12"/>
      <c r="U655" s="46"/>
      <c r="V655" s="23"/>
      <c r="W655" s="22" t="str">
        <f t="array" ref="W655">IF(A655="","",IFERROR(INDEX(PARAMETROS!$J$2:$J700,MATCH(H655,PARAMETROS!$E$2:$E700,0)),""))</f>
        <v/>
      </c>
      <c r="X655" s="23" t="str">
        <f t="shared" si="2"/>
        <v/>
      </c>
    </row>
    <row r="656" spans="1:24">
      <c r="A656" s="12"/>
      <c r="B656" s="12"/>
      <c r="C656" s="12"/>
      <c r="D656" s="12"/>
      <c r="E656" s="12"/>
      <c r="F656" s="12"/>
      <c r="G656" s="12"/>
      <c r="H656" s="12"/>
      <c r="I656" s="12"/>
      <c r="J656" s="14"/>
      <c r="K656" s="12"/>
      <c r="L656" s="14"/>
      <c r="M656" s="12"/>
      <c r="N656" s="12"/>
      <c r="O656" s="14"/>
      <c r="P656" s="12"/>
      <c r="Q656" s="15"/>
      <c r="R656" s="15"/>
      <c r="S656" s="21"/>
      <c r="T656" s="12"/>
      <c r="U656" s="46"/>
      <c r="V656" s="23"/>
      <c r="W656" s="22" t="str">
        <f t="array" ref="W656">IF(A656="","",IFERROR(INDEX(PARAMETROS!$J$2:$J700,MATCH(H656,PARAMETROS!$E$2:$E700,0)),""))</f>
        <v/>
      </c>
      <c r="X656" s="23" t="str">
        <f t="shared" si="2"/>
        <v/>
      </c>
    </row>
    <row r="657" spans="1:24">
      <c r="A657" s="12"/>
      <c r="B657" s="12"/>
      <c r="C657" s="12"/>
      <c r="D657" s="12"/>
      <c r="E657" s="12"/>
      <c r="F657" s="12"/>
      <c r="G657" s="12"/>
      <c r="H657" s="12"/>
      <c r="I657" s="12"/>
      <c r="J657" s="14"/>
      <c r="K657" s="12"/>
      <c r="L657" s="14"/>
      <c r="M657" s="12"/>
      <c r="N657" s="12"/>
      <c r="O657" s="14"/>
      <c r="P657" s="12"/>
      <c r="Q657" s="15"/>
      <c r="R657" s="15"/>
      <c r="S657" s="21"/>
      <c r="T657" s="12"/>
      <c r="U657" s="46"/>
      <c r="V657" s="23"/>
      <c r="W657" s="22" t="str">
        <f t="array" ref="W657">IF(A657="","",IFERROR(INDEX(PARAMETROS!$J$2:$J700,MATCH(H657,PARAMETROS!$E$2:$E700,0)),""))</f>
        <v/>
      </c>
      <c r="X657" s="23" t="str">
        <f t="shared" si="2"/>
        <v/>
      </c>
    </row>
    <row r="658" spans="1:24">
      <c r="A658" s="12"/>
      <c r="B658" s="12"/>
      <c r="C658" s="12"/>
      <c r="D658" s="12"/>
      <c r="E658" s="12"/>
      <c r="F658" s="12"/>
      <c r="G658" s="12"/>
      <c r="H658" s="12"/>
      <c r="I658" s="12"/>
      <c r="J658" s="14"/>
      <c r="K658" s="12"/>
      <c r="L658" s="14"/>
      <c r="M658" s="12"/>
      <c r="N658" s="12"/>
      <c r="O658" s="14"/>
      <c r="P658" s="12"/>
      <c r="Q658" s="15"/>
      <c r="R658" s="15"/>
      <c r="S658" s="21"/>
      <c r="T658" s="12"/>
      <c r="U658" s="46"/>
      <c r="V658" s="23"/>
      <c r="W658" s="22" t="str">
        <f t="array" ref="W658">IF(A658="","",IFERROR(INDEX(PARAMETROS!$J$2:$J700,MATCH(H658,PARAMETROS!$E$2:$E700,0)),""))</f>
        <v/>
      </c>
      <c r="X658" s="23" t="str">
        <f t="shared" si="2"/>
        <v/>
      </c>
    </row>
    <row r="659" spans="1:24">
      <c r="A659" s="12"/>
      <c r="B659" s="12"/>
      <c r="C659" s="12"/>
      <c r="D659" s="12"/>
      <c r="E659" s="12"/>
      <c r="F659" s="12"/>
      <c r="G659" s="12"/>
      <c r="H659" s="12"/>
      <c r="I659" s="12"/>
      <c r="J659" s="14"/>
      <c r="K659" s="12"/>
      <c r="L659" s="14"/>
      <c r="M659" s="12"/>
      <c r="N659" s="12"/>
      <c r="O659" s="14"/>
      <c r="P659" s="12"/>
      <c r="Q659" s="15"/>
      <c r="R659" s="15"/>
      <c r="S659" s="21"/>
      <c r="T659" s="12"/>
      <c r="U659" s="46"/>
      <c r="V659" s="23"/>
      <c r="W659" s="22" t="str">
        <f t="array" ref="W659">IF(A659="","",IFERROR(INDEX(PARAMETROS!$J$2:$J700,MATCH(H659,PARAMETROS!$E$2:$E700,0)),""))</f>
        <v/>
      </c>
      <c r="X659" s="23" t="str">
        <f t="shared" si="2"/>
        <v/>
      </c>
    </row>
    <row r="660" spans="1:24">
      <c r="A660" s="12"/>
      <c r="B660" s="12"/>
      <c r="C660" s="12"/>
      <c r="D660" s="12"/>
      <c r="E660" s="12"/>
      <c r="F660" s="12"/>
      <c r="G660" s="12"/>
      <c r="H660" s="12"/>
      <c r="I660" s="12"/>
      <c r="J660" s="14"/>
      <c r="K660" s="12"/>
      <c r="L660" s="14"/>
      <c r="M660" s="12"/>
      <c r="N660" s="12"/>
      <c r="O660" s="14"/>
      <c r="P660" s="12"/>
      <c r="Q660" s="15"/>
      <c r="R660" s="15"/>
      <c r="S660" s="21"/>
      <c r="T660" s="12"/>
      <c r="U660" s="46"/>
      <c r="V660" s="23"/>
      <c r="W660" s="22" t="str">
        <f t="array" ref="W660">IF(A660="","",IFERROR(INDEX(PARAMETROS!$J$2:$J700,MATCH(H660,PARAMETROS!$E$2:$E700,0)),""))</f>
        <v/>
      </c>
      <c r="X660" s="23" t="str">
        <f t="shared" si="2"/>
        <v/>
      </c>
    </row>
    <row r="661" spans="1:24">
      <c r="A661" s="12"/>
      <c r="B661" s="12"/>
      <c r="C661" s="12"/>
      <c r="D661" s="12"/>
      <c r="E661" s="12"/>
      <c r="F661" s="12"/>
      <c r="G661" s="12"/>
      <c r="H661" s="12"/>
      <c r="I661" s="12"/>
      <c r="J661" s="14"/>
      <c r="K661" s="12"/>
      <c r="L661" s="14"/>
      <c r="M661" s="12"/>
      <c r="N661" s="12"/>
      <c r="O661" s="14"/>
      <c r="P661" s="12"/>
      <c r="Q661" s="15"/>
      <c r="R661" s="15"/>
      <c r="S661" s="21"/>
      <c r="T661" s="12"/>
      <c r="U661" s="46"/>
      <c r="V661" s="23"/>
      <c r="W661" s="22" t="str">
        <f t="array" ref="W661">IF(A661="","",IFERROR(INDEX(PARAMETROS!$J$2:$J700,MATCH(H661,PARAMETROS!$E$2:$E700,0)),""))</f>
        <v/>
      </c>
      <c r="X661" s="23" t="str">
        <f t="shared" si="2"/>
        <v/>
      </c>
    </row>
    <row r="662" spans="1:24">
      <c r="A662" s="12"/>
      <c r="B662" s="12"/>
      <c r="C662" s="12"/>
      <c r="D662" s="12"/>
      <c r="E662" s="12"/>
      <c r="F662" s="12"/>
      <c r="G662" s="12"/>
      <c r="H662" s="12"/>
      <c r="I662" s="12"/>
      <c r="J662" s="14"/>
      <c r="K662" s="12"/>
      <c r="L662" s="14"/>
      <c r="M662" s="12"/>
      <c r="N662" s="12"/>
      <c r="O662" s="14"/>
      <c r="P662" s="12"/>
      <c r="Q662" s="15"/>
      <c r="R662" s="15"/>
      <c r="S662" s="21"/>
      <c r="T662" s="12"/>
      <c r="U662" s="46"/>
      <c r="V662" s="23"/>
      <c r="W662" s="22" t="str">
        <f t="array" ref="W662">IF(A662="","",IFERROR(INDEX(PARAMETROS!$J$2:$J700,MATCH(H662,PARAMETROS!$E$2:$E700,0)),""))</f>
        <v/>
      </c>
      <c r="X662" s="23" t="str">
        <f t="shared" si="2"/>
        <v/>
      </c>
    </row>
    <row r="663" spans="1:24">
      <c r="A663" s="12"/>
      <c r="B663" s="12"/>
      <c r="C663" s="12"/>
      <c r="D663" s="12"/>
      <c r="E663" s="12"/>
      <c r="F663" s="12"/>
      <c r="G663" s="12"/>
      <c r="H663" s="12"/>
      <c r="I663" s="12"/>
      <c r="J663" s="14"/>
      <c r="K663" s="12"/>
      <c r="L663" s="14"/>
      <c r="M663" s="12"/>
      <c r="N663" s="12"/>
      <c r="O663" s="14"/>
      <c r="P663" s="12"/>
      <c r="Q663" s="15"/>
      <c r="R663" s="15"/>
      <c r="S663" s="21"/>
      <c r="T663" s="12"/>
      <c r="U663" s="46"/>
      <c r="V663" s="23"/>
      <c r="W663" s="22" t="str">
        <f t="array" ref="W663">IF(A663="","",IFERROR(INDEX(PARAMETROS!$J$2:$J700,MATCH(H663,PARAMETROS!$E$2:$E700,0)),""))</f>
        <v/>
      </c>
      <c r="X663" s="23" t="str">
        <f t="shared" si="2"/>
        <v/>
      </c>
    </row>
    <row r="664" spans="1:24">
      <c r="A664" s="12"/>
      <c r="B664" s="12"/>
      <c r="C664" s="12"/>
      <c r="D664" s="12"/>
      <c r="E664" s="12"/>
      <c r="F664" s="12"/>
      <c r="G664" s="12"/>
      <c r="H664" s="12"/>
      <c r="I664" s="12"/>
      <c r="J664" s="14"/>
      <c r="K664" s="12"/>
      <c r="L664" s="14"/>
      <c r="M664" s="12"/>
      <c r="N664" s="12"/>
      <c r="O664" s="14"/>
      <c r="P664" s="12"/>
      <c r="Q664" s="15"/>
      <c r="R664" s="15"/>
      <c r="S664" s="21"/>
      <c r="T664" s="12"/>
      <c r="U664" s="46"/>
      <c r="V664" s="23"/>
      <c r="W664" s="22" t="str">
        <f t="array" ref="W664">IF(A664="","",IFERROR(INDEX(PARAMETROS!$J$2:$J700,MATCH(H664,PARAMETROS!$E$2:$E700,0)),""))</f>
        <v/>
      </c>
      <c r="X664" s="23" t="str">
        <f t="shared" si="2"/>
        <v/>
      </c>
    </row>
    <row r="665" spans="1:24">
      <c r="A665" s="12"/>
      <c r="B665" s="12"/>
      <c r="C665" s="12"/>
      <c r="D665" s="12"/>
      <c r="E665" s="12"/>
      <c r="F665" s="12"/>
      <c r="G665" s="12"/>
      <c r="H665" s="12"/>
      <c r="I665" s="12"/>
      <c r="J665" s="14"/>
      <c r="K665" s="12"/>
      <c r="L665" s="14"/>
      <c r="M665" s="12"/>
      <c r="N665" s="12"/>
      <c r="O665" s="14"/>
      <c r="P665" s="12"/>
      <c r="Q665" s="15"/>
      <c r="R665" s="15"/>
      <c r="S665" s="21"/>
      <c r="T665" s="12"/>
      <c r="U665" s="46"/>
      <c r="V665" s="23"/>
      <c r="W665" s="22" t="str">
        <f t="array" ref="W665">IF(A665="","",IFERROR(INDEX(PARAMETROS!$J$2:$J700,MATCH(H665,PARAMETROS!$E$2:$E700,0)),""))</f>
        <v/>
      </c>
      <c r="X665" s="23" t="str">
        <f t="shared" si="2"/>
        <v/>
      </c>
    </row>
    <row r="666" spans="1:24">
      <c r="A666" s="12"/>
      <c r="B666" s="12"/>
      <c r="C666" s="12"/>
      <c r="D666" s="12"/>
      <c r="E666" s="12"/>
      <c r="F666" s="12"/>
      <c r="G666" s="12"/>
      <c r="H666" s="12"/>
      <c r="I666" s="12"/>
      <c r="J666" s="14"/>
      <c r="K666" s="12"/>
      <c r="L666" s="14"/>
      <c r="M666" s="12"/>
      <c r="N666" s="12"/>
      <c r="O666" s="14"/>
      <c r="P666" s="12"/>
      <c r="Q666" s="15"/>
      <c r="R666" s="15"/>
      <c r="S666" s="21"/>
      <c r="T666" s="12"/>
      <c r="U666" s="46"/>
      <c r="V666" s="23"/>
      <c r="W666" s="22" t="str">
        <f t="array" ref="W666">IF(A666="","",IFERROR(INDEX(PARAMETROS!$J$2:$J700,MATCH(H666,PARAMETROS!$E$2:$E700,0)),""))</f>
        <v/>
      </c>
      <c r="X666" s="23" t="str">
        <f t="shared" si="2"/>
        <v/>
      </c>
    </row>
    <row r="667" spans="1:24">
      <c r="A667" s="12"/>
      <c r="B667" s="12"/>
      <c r="C667" s="12"/>
      <c r="D667" s="12"/>
      <c r="E667" s="12"/>
      <c r="F667" s="12"/>
      <c r="G667" s="12"/>
      <c r="H667" s="12"/>
      <c r="I667" s="12"/>
      <c r="J667" s="14"/>
      <c r="K667" s="12"/>
      <c r="L667" s="14"/>
      <c r="M667" s="12"/>
      <c r="N667" s="12"/>
      <c r="O667" s="14"/>
      <c r="P667" s="12"/>
      <c r="Q667" s="15"/>
      <c r="R667" s="15"/>
      <c r="S667" s="21"/>
      <c r="T667" s="12"/>
      <c r="U667" s="46"/>
      <c r="V667" s="23"/>
      <c r="W667" s="22" t="str">
        <f t="array" ref="W667">IF(A667="","",IFERROR(INDEX(PARAMETROS!$J$2:$J700,MATCH(H667,PARAMETROS!$E$2:$E700,0)),""))</f>
        <v/>
      </c>
      <c r="X667" s="23" t="str">
        <f t="shared" si="2"/>
        <v/>
      </c>
    </row>
    <row r="668" spans="1:24">
      <c r="A668" s="12"/>
      <c r="B668" s="12"/>
      <c r="C668" s="12"/>
      <c r="D668" s="12"/>
      <c r="E668" s="12"/>
      <c r="F668" s="12"/>
      <c r="G668" s="12"/>
      <c r="H668" s="12"/>
      <c r="I668" s="12"/>
      <c r="J668" s="14"/>
      <c r="K668" s="12"/>
      <c r="L668" s="14"/>
      <c r="M668" s="12"/>
      <c r="N668" s="12"/>
      <c r="O668" s="14"/>
      <c r="P668" s="12"/>
      <c r="Q668" s="15"/>
      <c r="R668" s="15"/>
      <c r="S668" s="21"/>
      <c r="T668" s="12"/>
      <c r="U668" s="46"/>
      <c r="V668" s="23"/>
      <c r="W668" s="22" t="str">
        <f t="array" ref="W668">IF(A668="","",IFERROR(INDEX(PARAMETROS!$J$2:$J700,MATCH(H668,PARAMETROS!$E$2:$E700,0)),""))</f>
        <v/>
      </c>
      <c r="X668" s="23" t="str">
        <f t="shared" si="2"/>
        <v/>
      </c>
    </row>
    <row r="669" spans="1:24">
      <c r="A669" s="12"/>
      <c r="B669" s="12"/>
      <c r="C669" s="12"/>
      <c r="D669" s="12"/>
      <c r="E669" s="12"/>
      <c r="F669" s="12"/>
      <c r="G669" s="12"/>
      <c r="H669" s="12"/>
      <c r="I669" s="12"/>
      <c r="J669" s="14"/>
      <c r="K669" s="12"/>
      <c r="L669" s="14"/>
      <c r="M669" s="12"/>
      <c r="N669" s="12"/>
      <c r="O669" s="14"/>
      <c r="P669" s="12"/>
      <c r="Q669" s="15"/>
      <c r="R669" s="15"/>
      <c r="S669" s="21"/>
      <c r="T669" s="12"/>
      <c r="U669" s="46"/>
      <c r="V669" s="23"/>
      <c r="W669" s="22" t="str">
        <f t="array" ref="W669">IF(A669="","",IFERROR(INDEX(PARAMETROS!$J$2:$J700,MATCH(H669,PARAMETROS!$E$2:$E700,0)),""))</f>
        <v/>
      </c>
      <c r="X669" s="23" t="str">
        <f t="shared" si="2"/>
        <v/>
      </c>
    </row>
    <row r="670" spans="1:24">
      <c r="A670" s="12"/>
      <c r="B670" s="12"/>
      <c r="C670" s="12"/>
      <c r="D670" s="12"/>
      <c r="E670" s="12"/>
      <c r="F670" s="12"/>
      <c r="G670" s="12"/>
      <c r="H670" s="12"/>
      <c r="I670" s="12"/>
      <c r="J670" s="14"/>
      <c r="K670" s="12"/>
      <c r="L670" s="14"/>
      <c r="M670" s="12"/>
      <c r="N670" s="12"/>
      <c r="O670" s="14"/>
      <c r="P670" s="12"/>
      <c r="Q670" s="15"/>
      <c r="R670" s="15"/>
      <c r="S670" s="21"/>
      <c r="T670" s="12"/>
      <c r="U670" s="46"/>
      <c r="V670" s="23"/>
      <c r="W670" s="22" t="str">
        <f t="array" ref="W670">IF(A670="","",IFERROR(INDEX(PARAMETROS!$J$2:$J700,MATCH(H670,PARAMETROS!$E$2:$E700,0)),""))</f>
        <v/>
      </c>
      <c r="X670" s="23" t="str">
        <f t="shared" si="2"/>
        <v/>
      </c>
    </row>
    <row r="671" spans="1:24">
      <c r="A671" s="12"/>
      <c r="B671" s="12"/>
      <c r="C671" s="12"/>
      <c r="D671" s="12"/>
      <c r="E671" s="12"/>
      <c r="F671" s="12"/>
      <c r="G671" s="12"/>
      <c r="H671" s="12"/>
      <c r="I671" s="12"/>
      <c r="J671" s="14"/>
      <c r="K671" s="12"/>
      <c r="L671" s="14"/>
      <c r="M671" s="12"/>
      <c r="N671" s="12"/>
      <c r="O671" s="14"/>
      <c r="P671" s="12"/>
      <c r="Q671" s="15"/>
      <c r="R671" s="15"/>
      <c r="S671" s="21"/>
      <c r="T671" s="12"/>
      <c r="U671" s="46"/>
      <c r="V671" s="23"/>
      <c r="W671" s="22" t="str">
        <f t="array" ref="W671">IF(A671="","",IFERROR(INDEX(PARAMETROS!$J$2:$J700,MATCH(H671,PARAMETROS!$E$2:$E700,0)),""))</f>
        <v/>
      </c>
      <c r="X671" s="23" t="str">
        <f t="shared" si="2"/>
        <v/>
      </c>
    </row>
    <row r="672" spans="1:24">
      <c r="A672" s="12"/>
      <c r="B672" s="12"/>
      <c r="C672" s="12"/>
      <c r="D672" s="12"/>
      <c r="E672" s="12"/>
      <c r="F672" s="12"/>
      <c r="G672" s="12"/>
      <c r="H672" s="12"/>
      <c r="I672" s="12"/>
      <c r="J672" s="14"/>
      <c r="K672" s="12"/>
      <c r="L672" s="14"/>
      <c r="M672" s="12"/>
      <c r="N672" s="12"/>
      <c r="O672" s="14"/>
      <c r="P672" s="12"/>
      <c r="Q672" s="15"/>
      <c r="R672" s="15"/>
      <c r="S672" s="21"/>
      <c r="T672" s="12"/>
      <c r="U672" s="46"/>
      <c r="V672" s="23"/>
      <c r="W672" s="22" t="str">
        <f t="array" ref="W672">IF(A672="","",IFERROR(INDEX(PARAMETROS!$J$2:$J700,MATCH(H672,PARAMETROS!$E$2:$E700,0)),""))</f>
        <v/>
      </c>
      <c r="X672" s="23" t="str">
        <f t="shared" si="2"/>
        <v/>
      </c>
    </row>
    <row r="673" spans="1:24">
      <c r="A673" s="12"/>
      <c r="B673" s="12"/>
      <c r="C673" s="12"/>
      <c r="D673" s="12"/>
      <c r="E673" s="12"/>
      <c r="F673" s="12"/>
      <c r="G673" s="12"/>
      <c r="H673" s="12"/>
      <c r="I673" s="12"/>
      <c r="J673" s="14"/>
      <c r="K673" s="12"/>
      <c r="L673" s="14"/>
      <c r="M673" s="12"/>
      <c r="N673" s="12"/>
      <c r="O673" s="14"/>
      <c r="P673" s="12"/>
      <c r="Q673" s="15"/>
      <c r="R673" s="15"/>
      <c r="S673" s="21"/>
      <c r="T673" s="12"/>
      <c r="U673" s="46"/>
      <c r="V673" s="23"/>
      <c r="W673" s="22" t="str">
        <f t="array" ref="W673">IF(A673="","",IFERROR(INDEX(PARAMETROS!$J$2:$J700,MATCH(H673,PARAMETROS!$E$2:$E700,0)),""))</f>
        <v/>
      </c>
      <c r="X673" s="23" t="str">
        <f t="shared" si="2"/>
        <v/>
      </c>
    </row>
    <row r="674" spans="1:24">
      <c r="A674" s="12"/>
      <c r="B674" s="12"/>
      <c r="C674" s="12"/>
      <c r="D674" s="12"/>
      <c r="E674" s="12"/>
      <c r="F674" s="12"/>
      <c r="G674" s="12"/>
      <c r="H674" s="12"/>
      <c r="I674" s="12"/>
      <c r="J674" s="14"/>
      <c r="K674" s="12"/>
      <c r="L674" s="14"/>
      <c r="M674" s="12"/>
      <c r="N674" s="12"/>
      <c r="O674" s="14"/>
      <c r="P674" s="12"/>
      <c r="Q674" s="15"/>
      <c r="R674" s="15"/>
      <c r="S674" s="21"/>
      <c r="T674" s="12"/>
      <c r="U674" s="46"/>
      <c r="V674" s="23"/>
      <c r="W674" s="22" t="str">
        <f t="array" ref="W674">IF(A674="","",IFERROR(INDEX(PARAMETROS!$J$2:$J700,MATCH(H674,PARAMETROS!$E$2:$E700,0)),""))</f>
        <v/>
      </c>
      <c r="X674" s="23" t="str">
        <f t="shared" si="2"/>
        <v/>
      </c>
    </row>
    <row r="675" spans="1:24">
      <c r="A675" s="12"/>
      <c r="B675" s="12"/>
      <c r="C675" s="12"/>
      <c r="D675" s="12"/>
      <c r="E675" s="12"/>
      <c r="F675" s="12"/>
      <c r="G675" s="12"/>
      <c r="H675" s="12"/>
      <c r="I675" s="12"/>
      <c r="J675" s="14"/>
      <c r="K675" s="12"/>
      <c r="L675" s="14"/>
      <c r="M675" s="12"/>
      <c r="N675" s="12"/>
      <c r="O675" s="14"/>
      <c r="P675" s="12"/>
      <c r="Q675" s="15"/>
      <c r="R675" s="15"/>
      <c r="S675" s="21"/>
      <c r="T675" s="12"/>
      <c r="U675" s="46"/>
      <c r="V675" s="23"/>
      <c r="W675" s="22" t="str">
        <f t="array" ref="W675">IF(A675="","",IFERROR(INDEX(PARAMETROS!$J$2:$J700,MATCH(H675,PARAMETROS!$E$2:$E700,0)),""))</f>
        <v/>
      </c>
      <c r="X675" s="23" t="str">
        <f t="shared" si="2"/>
        <v/>
      </c>
    </row>
    <row r="676" spans="1:24">
      <c r="A676" s="12"/>
      <c r="B676" s="12"/>
      <c r="C676" s="12"/>
      <c r="D676" s="12"/>
      <c r="E676" s="12"/>
      <c r="F676" s="12"/>
      <c r="G676" s="12"/>
      <c r="H676" s="12"/>
      <c r="I676" s="12"/>
      <c r="J676" s="14"/>
      <c r="K676" s="12"/>
      <c r="L676" s="14"/>
      <c r="M676" s="12"/>
      <c r="N676" s="12"/>
      <c r="O676" s="14"/>
      <c r="P676" s="12"/>
      <c r="Q676" s="15"/>
      <c r="R676" s="15"/>
      <c r="S676" s="21"/>
      <c r="T676" s="12"/>
      <c r="U676" s="46"/>
      <c r="V676" s="23"/>
      <c r="W676" s="22" t="str">
        <f t="array" ref="W676">IF(A676="","",IFERROR(INDEX(PARAMETROS!$J$2:$J700,MATCH(H676,PARAMETROS!$E$2:$E700,0)),""))</f>
        <v/>
      </c>
      <c r="X676" s="23" t="str">
        <f t="shared" si="2"/>
        <v/>
      </c>
    </row>
    <row r="677" spans="1:24">
      <c r="A677" s="12"/>
      <c r="B677" s="12"/>
      <c r="C677" s="12"/>
      <c r="D677" s="12"/>
      <c r="E677" s="12"/>
      <c r="F677" s="12"/>
      <c r="G677" s="12"/>
      <c r="H677" s="12"/>
      <c r="I677" s="12"/>
      <c r="J677" s="14"/>
      <c r="K677" s="12"/>
      <c r="L677" s="14"/>
      <c r="M677" s="12"/>
      <c r="N677" s="12"/>
      <c r="O677" s="14"/>
      <c r="P677" s="12"/>
      <c r="Q677" s="15"/>
      <c r="R677" s="15"/>
      <c r="S677" s="21"/>
      <c r="T677" s="12"/>
      <c r="U677" s="46"/>
      <c r="V677" s="23"/>
      <c r="W677" s="22" t="str">
        <f t="array" ref="W677">IF(A677="","",IFERROR(INDEX(PARAMETROS!$J$2:$J700,MATCH(H677,PARAMETROS!$E$2:$E700,0)),""))</f>
        <v/>
      </c>
      <c r="X677" s="23" t="str">
        <f t="shared" si="2"/>
        <v/>
      </c>
    </row>
    <row r="678" spans="1:24">
      <c r="A678" s="12"/>
      <c r="B678" s="12"/>
      <c r="C678" s="12"/>
      <c r="D678" s="12"/>
      <c r="E678" s="12"/>
      <c r="F678" s="12"/>
      <c r="G678" s="12"/>
      <c r="H678" s="12"/>
      <c r="I678" s="12"/>
      <c r="J678" s="14"/>
      <c r="K678" s="12"/>
      <c r="L678" s="14"/>
      <c r="M678" s="12"/>
      <c r="N678" s="12"/>
      <c r="O678" s="14"/>
      <c r="P678" s="12"/>
      <c r="Q678" s="15"/>
      <c r="R678" s="15"/>
      <c r="S678" s="21"/>
      <c r="T678" s="12"/>
      <c r="U678" s="46"/>
      <c r="V678" s="23"/>
      <c r="W678" s="22" t="str">
        <f t="array" ref="W678">IF(A678="","",IFERROR(INDEX(PARAMETROS!$J$2:$J700,MATCH(H678,PARAMETROS!$E$2:$E700,0)),""))</f>
        <v/>
      </c>
      <c r="X678" s="23" t="str">
        <f t="shared" si="2"/>
        <v/>
      </c>
    </row>
    <row r="679" spans="1:24">
      <c r="A679" s="12"/>
      <c r="B679" s="12"/>
      <c r="C679" s="12"/>
      <c r="D679" s="12"/>
      <c r="E679" s="12"/>
      <c r="F679" s="12"/>
      <c r="G679" s="12"/>
      <c r="H679" s="12"/>
      <c r="I679" s="12"/>
      <c r="J679" s="14"/>
      <c r="K679" s="12"/>
      <c r="L679" s="14"/>
      <c r="M679" s="12"/>
      <c r="N679" s="12"/>
      <c r="O679" s="14"/>
      <c r="P679" s="12"/>
      <c r="Q679" s="15"/>
      <c r="R679" s="15"/>
      <c r="S679" s="21"/>
      <c r="T679" s="12"/>
      <c r="U679" s="46"/>
      <c r="V679" s="23"/>
      <c r="W679" s="22" t="str">
        <f t="array" ref="W679">IF(A679="","",IFERROR(INDEX(PARAMETROS!$J$2:$J700,MATCH(H679,PARAMETROS!$E$2:$E700,0)),""))</f>
        <v/>
      </c>
      <c r="X679" s="23" t="str">
        <f t="shared" si="2"/>
        <v/>
      </c>
    </row>
    <row r="680" spans="1:24">
      <c r="A680" s="12"/>
      <c r="B680" s="12"/>
      <c r="C680" s="12"/>
      <c r="D680" s="12"/>
      <c r="E680" s="12"/>
      <c r="F680" s="12"/>
      <c r="G680" s="12"/>
      <c r="H680" s="12"/>
      <c r="I680" s="12"/>
      <c r="J680" s="14"/>
      <c r="K680" s="12"/>
      <c r="L680" s="14"/>
      <c r="M680" s="12"/>
      <c r="N680" s="12"/>
      <c r="O680" s="14"/>
      <c r="P680" s="12"/>
      <c r="Q680" s="15"/>
      <c r="R680" s="15"/>
      <c r="S680" s="21"/>
      <c r="T680" s="12"/>
      <c r="U680" s="46"/>
      <c r="V680" s="23"/>
      <c r="W680" s="22" t="str">
        <f t="array" ref="W680">IF(A680="","",IFERROR(INDEX(PARAMETROS!$J$2:$J700,MATCH(H680,PARAMETROS!$E$2:$E700,0)),""))</f>
        <v/>
      </c>
      <c r="X680" s="23" t="str">
        <f t="shared" si="2"/>
        <v/>
      </c>
    </row>
    <row r="681" spans="1:24">
      <c r="A681" s="12"/>
      <c r="B681" s="12"/>
      <c r="C681" s="12"/>
      <c r="D681" s="12"/>
      <c r="E681" s="12"/>
      <c r="F681" s="12"/>
      <c r="G681" s="12"/>
      <c r="H681" s="12"/>
      <c r="I681" s="12"/>
      <c r="J681" s="14"/>
      <c r="K681" s="12"/>
      <c r="L681" s="14"/>
      <c r="M681" s="12"/>
      <c r="N681" s="12"/>
      <c r="O681" s="14"/>
      <c r="P681" s="12"/>
      <c r="Q681" s="15"/>
      <c r="R681" s="15"/>
      <c r="S681" s="21"/>
      <c r="T681" s="12"/>
      <c r="U681" s="46"/>
      <c r="V681" s="23"/>
      <c r="W681" s="22" t="str">
        <f t="array" ref="W681">IF(A681="","",IFERROR(INDEX(PARAMETROS!$J$2:$J700,MATCH(H681,PARAMETROS!$E$2:$E700,0)),""))</f>
        <v/>
      </c>
      <c r="X681" s="23" t="str">
        <f t="shared" si="2"/>
        <v/>
      </c>
    </row>
    <row r="682" spans="1:24">
      <c r="A682" s="12"/>
      <c r="B682" s="12"/>
      <c r="C682" s="12"/>
      <c r="D682" s="12"/>
      <c r="E682" s="12"/>
      <c r="F682" s="12"/>
      <c r="G682" s="12"/>
      <c r="H682" s="12"/>
      <c r="I682" s="12"/>
      <c r="J682" s="14"/>
      <c r="K682" s="12"/>
      <c r="L682" s="14"/>
      <c r="M682" s="12"/>
      <c r="N682" s="12"/>
      <c r="O682" s="14"/>
      <c r="P682" s="12"/>
      <c r="Q682" s="15"/>
      <c r="R682" s="15"/>
      <c r="S682" s="21"/>
      <c r="T682" s="12"/>
      <c r="U682" s="46"/>
      <c r="V682" s="23"/>
      <c r="W682" s="22" t="str">
        <f t="array" ref="W682">IF(A682="","",IFERROR(INDEX(PARAMETROS!$J$2:$J700,MATCH(H682,PARAMETROS!$E$2:$E700,0)),""))</f>
        <v/>
      </c>
      <c r="X682" s="23" t="str">
        <f t="shared" si="2"/>
        <v/>
      </c>
    </row>
    <row r="683" spans="1:24">
      <c r="A683" s="12"/>
      <c r="B683" s="12"/>
      <c r="C683" s="12"/>
      <c r="D683" s="12"/>
      <c r="E683" s="12"/>
      <c r="F683" s="12"/>
      <c r="G683" s="12"/>
      <c r="H683" s="12"/>
      <c r="I683" s="12"/>
      <c r="J683" s="14"/>
      <c r="K683" s="12"/>
      <c r="L683" s="14"/>
      <c r="M683" s="12"/>
      <c r="N683" s="12"/>
      <c r="O683" s="14"/>
      <c r="P683" s="12"/>
      <c r="Q683" s="15"/>
      <c r="R683" s="15"/>
      <c r="S683" s="21"/>
      <c r="T683" s="12"/>
      <c r="U683" s="46"/>
      <c r="V683" s="23"/>
      <c r="W683" s="22" t="str">
        <f t="array" ref="W683">IF(A683="","",IFERROR(INDEX(PARAMETROS!$J$2:$J700,MATCH(H683,PARAMETROS!$E$2:$E700,0)),""))</f>
        <v/>
      </c>
      <c r="X683" s="23" t="str">
        <f t="shared" si="2"/>
        <v/>
      </c>
    </row>
    <row r="684" spans="1:24">
      <c r="A684" s="12"/>
      <c r="B684" s="12"/>
      <c r="C684" s="12"/>
      <c r="D684" s="12"/>
      <c r="E684" s="12"/>
      <c r="F684" s="12"/>
      <c r="G684" s="12"/>
      <c r="H684" s="12"/>
      <c r="I684" s="12"/>
      <c r="J684" s="14"/>
      <c r="K684" s="12"/>
      <c r="L684" s="14"/>
      <c r="M684" s="12"/>
      <c r="N684" s="12"/>
      <c r="O684" s="14"/>
      <c r="P684" s="12"/>
      <c r="Q684" s="15"/>
      <c r="R684" s="15"/>
      <c r="S684" s="21"/>
      <c r="T684" s="12"/>
      <c r="U684" s="46"/>
      <c r="V684" s="23"/>
      <c r="W684" s="22" t="str">
        <f t="array" ref="W684">IF(A684="","",IFERROR(INDEX(PARAMETROS!$J$2:$J700,MATCH(H684,PARAMETROS!$E$2:$E700,0)),""))</f>
        <v/>
      </c>
      <c r="X684" s="23" t="str">
        <f t="shared" si="2"/>
        <v/>
      </c>
    </row>
    <row r="685" spans="1:24">
      <c r="A685" s="12"/>
      <c r="B685" s="12"/>
      <c r="C685" s="12"/>
      <c r="D685" s="12"/>
      <c r="E685" s="12"/>
      <c r="F685" s="12"/>
      <c r="G685" s="12"/>
      <c r="H685" s="12"/>
      <c r="I685" s="12"/>
      <c r="J685" s="14"/>
      <c r="K685" s="12"/>
      <c r="L685" s="14"/>
      <c r="M685" s="12"/>
      <c r="N685" s="12"/>
      <c r="O685" s="14"/>
      <c r="P685" s="12"/>
      <c r="Q685" s="15"/>
      <c r="R685" s="15"/>
      <c r="S685" s="21"/>
      <c r="T685" s="12"/>
      <c r="U685" s="46"/>
      <c r="V685" s="23"/>
      <c r="W685" s="22" t="str">
        <f t="array" ref="W685">IF(A685="","",IFERROR(INDEX(PARAMETROS!$J$2:$J700,MATCH(H685,PARAMETROS!$E$2:$E700,0)),""))</f>
        <v/>
      </c>
      <c r="X685" s="23" t="str">
        <f t="shared" si="2"/>
        <v/>
      </c>
    </row>
    <row r="686" spans="1:24">
      <c r="A686" s="12"/>
      <c r="B686" s="12"/>
      <c r="C686" s="12"/>
      <c r="D686" s="12"/>
      <c r="E686" s="12"/>
      <c r="F686" s="12"/>
      <c r="G686" s="12"/>
      <c r="H686" s="12"/>
      <c r="I686" s="12"/>
      <c r="J686" s="14"/>
      <c r="K686" s="12"/>
      <c r="L686" s="14"/>
      <c r="M686" s="12"/>
      <c r="N686" s="12"/>
      <c r="O686" s="14"/>
      <c r="P686" s="12"/>
      <c r="Q686" s="15"/>
      <c r="R686" s="15"/>
      <c r="S686" s="21"/>
      <c r="T686" s="12"/>
      <c r="U686" s="46"/>
      <c r="V686" s="23"/>
      <c r="W686" s="22" t="str">
        <f t="array" ref="W686">IF(A686="","",IFERROR(INDEX(PARAMETROS!$J$2:$J700,MATCH(H686,PARAMETROS!$E$2:$E700,0)),""))</f>
        <v/>
      </c>
      <c r="X686" s="23" t="str">
        <f t="shared" si="2"/>
        <v/>
      </c>
    </row>
    <row r="687" spans="1:24">
      <c r="A687" s="12"/>
      <c r="B687" s="12"/>
      <c r="C687" s="12"/>
      <c r="D687" s="12"/>
      <c r="E687" s="12"/>
      <c r="F687" s="12"/>
      <c r="G687" s="12"/>
      <c r="H687" s="12"/>
      <c r="I687" s="12"/>
      <c r="J687" s="14"/>
      <c r="K687" s="12"/>
      <c r="L687" s="14"/>
      <c r="M687" s="12"/>
      <c r="N687" s="12"/>
      <c r="O687" s="14"/>
      <c r="P687" s="12"/>
      <c r="Q687" s="15"/>
      <c r="R687" s="15"/>
      <c r="S687" s="21"/>
      <c r="T687" s="12"/>
      <c r="U687" s="46"/>
      <c r="V687" s="23"/>
      <c r="W687" s="22" t="str">
        <f t="array" ref="W687">IF(A687="","",IFERROR(INDEX(PARAMETROS!$J$2:$J700,MATCH(H687,PARAMETROS!$E$2:$E700,0)),""))</f>
        <v/>
      </c>
      <c r="X687" s="23" t="str">
        <f t="shared" si="2"/>
        <v/>
      </c>
    </row>
    <row r="688" spans="1:24">
      <c r="A688" s="12"/>
      <c r="B688" s="12"/>
      <c r="C688" s="12"/>
      <c r="D688" s="12"/>
      <c r="E688" s="12"/>
      <c r="F688" s="12"/>
      <c r="G688" s="12"/>
      <c r="H688" s="12"/>
      <c r="I688" s="12"/>
      <c r="J688" s="14"/>
      <c r="K688" s="12"/>
      <c r="L688" s="14"/>
      <c r="M688" s="12"/>
      <c r="N688" s="12"/>
      <c r="O688" s="14"/>
      <c r="P688" s="12"/>
      <c r="Q688" s="15"/>
      <c r="R688" s="15"/>
      <c r="S688" s="21"/>
      <c r="T688" s="12"/>
      <c r="U688" s="46"/>
      <c r="V688" s="23"/>
      <c r="W688" s="22" t="str">
        <f t="array" ref="W688">IF(A688="","",IFERROR(INDEX(PARAMETROS!$J$2:$J700,MATCH(H688,PARAMETROS!$E$2:$E700,0)),""))</f>
        <v/>
      </c>
      <c r="X688" s="23" t="str">
        <f t="shared" si="2"/>
        <v/>
      </c>
    </row>
    <row r="689" spans="1:24">
      <c r="A689" s="12"/>
      <c r="B689" s="12"/>
      <c r="C689" s="12"/>
      <c r="D689" s="12"/>
      <c r="E689" s="12"/>
      <c r="F689" s="12"/>
      <c r="G689" s="12"/>
      <c r="H689" s="12"/>
      <c r="I689" s="12"/>
      <c r="J689" s="14"/>
      <c r="K689" s="12"/>
      <c r="L689" s="14"/>
      <c r="M689" s="12"/>
      <c r="N689" s="12"/>
      <c r="O689" s="14"/>
      <c r="P689" s="12"/>
      <c r="Q689" s="15"/>
      <c r="R689" s="15"/>
      <c r="S689" s="21"/>
      <c r="T689" s="12"/>
      <c r="U689" s="46"/>
      <c r="V689" s="23"/>
      <c r="W689" s="22" t="str">
        <f t="array" ref="W689">IF(A689="","",IFERROR(INDEX(PARAMETROS!$J$2:$J700,MATCH(H689,PARAMETROS!$E$2:$E700,0)),""))</f>
        <v/>
      </c>
      <c r="X689" s="23" t="str">
        <f t="shared" si="2"/>
        <v/>
      </c>
    </row>
    <row r="690" spans="1:24">
      <c r="A690" s="12"/>
      <c r="B690" s="12"/>
      <c r="C690" s="12"/>
      <c r="D690" s="12"/>
      <c r="E690" s="12"/>
      <c r="F690" s="12"/>
      <c r="G690" s="12"/>
      <c r="H690" s="12"/>
      <c r="I690" s="12"/>
      <c r="J690" s="14"/>
      <c r="K690" s="12"/>
      <c r="L690" s="14"/>
      <c r="M690" s="12"/>
      <c r="N690" s="12"/>
      <c r="O690" s="14"/>
      <c r="P690" s="12"/>
      <c r="Q690" s="15"/>
      <c r="R690" s="15"/>
      <c r="S690" s="21"/>
      <c r="T690" s="12"/>
      <c r="U690" s="46"/>
      <c r="V690" s="23"/>
      <c r="W690" s="22" t="str">
        <f t="array" ref="W690">IF(A690="","",IFERROR(INDEX(PARAMETROS!$J$2:$J700,MATCH(H690,PARAMETROS!$E$2:$E700,0)),""))</f>
        <v/>
      </c>
      <c r="X690" s="23" t="str">
        <f t="shared" si="2"/>
        <v/>
      </c>
    </row>
    <row r="691" spans="1:24">
      <c r="A691" s="12"/>
      <c r="B691" s="12"/>
      <c r="C691" s="12"/>
      <c r="D691" s="12"/>
      <c r="E691" s="12"/>
      <c r="F691" s="12"/>
      <c r="G691" s="12"/>
      <c r="H691" s="12"/>
      <c r="I691" s="12"/>
      <c r="J691" s="14"/>
      <c r="K691" s="12"/>
      <c r="L691" s="14"/>
      <c r="M691" s="12"/>
      <c r="N691" s="12"/>
      <c r="O691" s="14"/>
      <c r="P691" s="12"/>
      <c r="Q691" s="15"/>
      <c r="R691" s="15"/>
      <c r="S691" s="21"/>
      <c r="T691" s="12"/>
      <c r="U691" s="46"/>
      <c r="V691" s="23"/>
      <c r="W691" s="22" t="str">
        <f t="array" ref="W691">IF(A691="","",IFERROR(INDEX(PARAMETROS!$J$2:$J700,MATCH(H691,PARAMETROS!$E$2:$E700,0)),""))</f>
        <v/>
      </c>
      <c r="X691" s="23" t="str">
        <f t="shared" si="2"/>
        <v/>
      </c>
    </row>
    <row r="692" spans="1:24">
      <c r="A692" s="12"/>
      <c r="B692" s="12"/>
      <c r="C692" s="12"/>
      <c r="D692" s="12"/>
      <c r="E692" s="12"/>
      <c r="F692" s="12"/>
      <c r="G692" s="12"/>
      <c r="H692" s="12"/>
      <c r="I692" s="12"/>
      <c r="J692" s="14"/>
      <c r="K692" s="12"/>
      <c r="L692" s="14"/>
      <c r="M692" s="12"/>
      <c r="N692" s="12"/>
      <c r="O692" s="14"/>
      <c r="P692" s="12"/>
      <c r="Q692" s="15"/>
      <c r="R692" s="15"/>
      <c r="S692" s="21"/>
      <c r="T692" s="12"/>
      <c r="U692" s="46"/>
      <c r="V692" s="23"/>
      <c r="W692" s="22" t="str">
        <f t="array" ref="W692">IF(A692="","",IFERROR(INDEX(PARAMETROS!$J$2:$J700,MATCH(H692,PARAMETROS!$E$2:$E700,0)),""))</f>
        <v/>
      </c>
      <c r="X692" s="23" t="str">
        <f t="shared" si="2"/>
        <v/>
      </c>
    </row>
    <row r="693" spans="1:24">
      <c r="A693" s="12"/>
      <c r="B693" s="12"/>
      <c r="C693" s="12"/>
      <c r="D693" s="12"/>
      <c r="E693" s="12"/>
      <c r="F693" s="12"/>
      <c r="G693" s="12"/>
      <c r="H693" s="12"/>
      <c r="I693" s="12"/>
      <c r="J693" s="14"/>
      <c r="K693" s="12"/>
      <c r="L693" s="14"/>
      <c r="M693" s="12"/>
      <c r="N693" s="12"/>
      <c r="O693" s="14"/>
      <c r="P693" s="12"/>
      <c r="Q693" s="15"/>
      <c r="R693" s="15"/>
      <c r="S693" s="21"/>
      <c r="T693" s="12"/>
      <c r="U693" s="46"/>
      <c r="V693" s="23"/>
      <c r="W693" s="22" t="str">
        <f t="array" ref="W693">IF(A693="","",IFERROR(INDEX(PARAMETROS!$J$2:$J700,MATCH(H693,PARAMETROS!$E$2:$E700,0)),""))</f>
        <v/>
      </c>
      <c r="X693" s="23" t="str">
        <f t="shared" si="2"/>
        <v/>
      </c>
    </row>
    <row r="694" spans="1:24">
      <c r="A694" s="12"/>
      <c r="B694" s="12"/>
      <c r="C694" s="12"/>
      <c r="D694" s="12"/>
      <c r="E694" s="12"/>
      <c r="F694" s="12"/>
      <c r="G694" s="12"/>
      <c r="H694" s="12"/>
      <c r="I694" s="12"/>
      <c r="J694" s="14"/>
      <c r="K694" s="12"/>
      <c r="L694" s="14"/>
      <c r="M694" s="12"/>
      <c r="N694" s="12"/>
      <c r="O694" s="14"/>
      <c r="P694" s="12"/>
      <c r="Q694" s="15"/>
      <c r="R694" s="15"/>
      <c r="S694" s="21"/>
      <c r="T694" s="12"/>
      <c r="U694" s="46"/>
      <c r="V694" s="23"/>
      <c r="W694" s="22" t="str">
        <f t="array" ref="W694">IF(A694="","",IFERROR(INDEX(PARAMETROS!$J$2:$J700,MATCH(H694,PARAMETROS!$E$2:$E700,0)),""))</f>
        <v/>
      </c>
      <c r="X694" s="23" t="str">
        <f t="shared" si="2"/>
        <v/>
      </c>
    </row>
    <row r="695" spans="1:24">
      <c r="A695" s="12"/>
      <c r="B695" s="12"/>
      <c r="C695" s="12"/>
      <c r="D695" s="12"/>
      <c r="E695" s="12"/>
      <c r="F695" s="12"/>
      <c r="G695" s="12"/>
      <c r="H695" s="12"/>
      <c r="I695" s="12"/>
      <c r="J695" s="14"/>
      <c r="K695" s="12"/>
      <c r="L695" s="14"/>
      <c r="M695" s="12"/>
      <c r="N695" s="12"/>
      <c r="O695" s="14"/>
      <c r="P695" s="12"/>
      <c r="Q695" s="15"/>
      <c r="R695" s="15"/>
      <c r="S695" s="21"/>
      <c r="T695" s="12"/>
      <c r="U695" s="46"/>
      <c r="V695" s="23"/>
      <c r="W695" s="22" t="str">
        <f t="array" ref="W695">IF(A695="","",IFERROR(INDEX(PARAMETROS!$J$2:$J700,MATCH(H695,PARAMETROS!$E$2:$E700,0)),""))</f>
        <v/>
      </c>
      <c r="X695" s="23" t="str">
        <f t="shared" si="2"/>
        <v/>
      </c>
    </row>
    <row r="696" spans="1:24">
      <c r="A696" s="12"/>
      <c r="B696" s="12"/>
      <c r="C696" s="12"/>
      <c r="D696" s="12"/>
      <c r="E696" s="12"/>
      <c r="F696" s="12"/>
      <c r="G696" s="12"/>
      <c r="H696" s="12"/>
      <c r="I696" s="12"/>
      <c r="J696" s="14"/>
      <c r="K696" s="12"/>
      <c r="L696" s="14"/>
      <c r="M696" s="12"/>
      <c r="N696" s="12"/>
      <c r="O696" s="14"/>
      <c r="P696" s="12"/>
      <c r="Q696" s="15"/>
      <c r="R696" s="15"/>
      <c r="S696" s="21"/>
      <c r="T696" s="12"/>
      <c r="U696" s="46"/>
      <c r="V696" s="23"/>
      <c r="W696" s="22" t="str">
        <f t="array" ref="W696">IF(A696="","",IFERROR(INDEX(PARAMETROS!$J$2:$J700,MATCH(H696,PARAMETROS!$E$2:$E700,0)),""))</f>
        <v/>
      </c>
      <c r="X696" s="23" t="str">
        <f t="shared" si="2"/>
        <v/>
      </c>
    </row>
    <row r="697" spans="1:24">
      <c r="A697" s="12"/>
      <c r="B697" s="12"/>
      <c r="C697" s="12"/>
      <c r="D697" s="12"/>
      <c r="E697" s="12"/>
      <c r="F697" s="12"/>
      <c r="G697" s="12"/>
      <c r="H697" s="12"/>
      <c r="I697" s="12"/>
      <c r="J697" s="14"/>
      <c r="K697" s="12"/>
      <c r="L697" s="14"/>
      <c r="M697" s="12"/>
      <c r="N697" s="12"/>
      <c r="O697" s="14"/>
      <c r="P697" s="12"/>
      <c r="Q697" s="15"/>
      <c r="R697" s="15"/>
      <c r="S697" s="21"/>
      <c r="T697" s="12"/>
      <c r="U697" s="46"/>
      <c r="V697" s="23"/>
      <c r="W697" s="22" t="str">
        <f t="array" ref="W697">IF(A697="","",IFERROR(INDEX(PARAMETROS!$J$2:$J700,MATCH(H697,PARAMETROS!$E$2:$E700,0)),""))</f>
        <v/>
      </c>
      <c r="X697" s="23" t="str">
        <f t="shared" si="2"/>
        <v/>
      </c>
    </row>
    <row r="698" spans="1:24">
      <c r="A698" s="12"/>
      <c r="B698" s="12"/>
      <c r="C698" s="12"/>
      <c r="D698" s="12"/>
      <c r="E698" s="12"/>
      <c r="F698" s="12"/>
      <c r="G698" s="12"/>
      <c r="H698" s="12"/>
      <c r="I698" s="12"/>
      <c r="J698" s="14"/>
      <c r="K698" s="12"/>
      <c r="L698" s="14"/>
      <c r="M698" s="12"/>
      <c r="N698" s="12"/>
      <c r="O698" s="14"/>
      <c r="P698" s="12"/>
      <c r="Q698" s="15"/>
      <c r="R698" s="15"/>
      <c r="S698" s="21"/>
      <c r="T698" s="12"/>
      <c r="U698" s="46"/>
      <c r="V698" s="23"/>
      <c r="W698" s="22" t="str">
        <f t="array" ref="W698">IF(A698="","",IFERROR(INDEX(PARAMETROS!$J$2:$J700,MATCH(H698,PARAMETROS!$E$2:$E700,0)),""))</f>
        <v/>
      </c>
      <c r="X698" s="23" t="str">
        <f t="shared" si="2"/>
        <v/>
      </c>
    </row>
    <row r="699" spans="1:24">
      <c r="A699" s="12"/>
      <c r="B699" s="12"/>
      <c r="C699" s="12"/>
      <c r="D699" s="12"/>
      <c r="E699" s="12"/>
      <c r="F699" s="12"/>
      <c r="G699" s="12"/>
      <c r="H699" s="12"/>
      <c r="I699" s="12"/>
      <c r="J699" s="14"/>
      <c r="K699" s="12"/>
      <c r="L699" s="14"/>
      <c r="M699" s="12"/>
      <c r="N699" s="12"/>
      <c r="O699" s="14"/>
      <c r="P699" s="12"/>
      <c r="Q699" s="15"/>
      <c r="R699" s="15"/>
      <c r="S699" s="21"/>
      <c r="T699" s="12"/>
      <c r="U699" s="46"/>
      <c r="V699" s="23"/>
      <c r="W699" s="22" t="str">
        <f t="array" ref="W699">IF(A699="","",IFERROR(INDEX(PARAMETROS!$J$2:$J700,MATCH(H699,PARAMETROS!$E$2:$E700,0)),""))</f>
        <v/>
      </c>
      <c r="X699" s="23" t="str">
        <f t="shared" si="2"/>
        <v/>
      </c>
    </row>
    <row r="700" spans="1:24">
      <c r="A700" s="12"/>
      <c r="B700" s="12"/>
      <c r="C700" s="12"/>
      <c r="D700" s="12"/>
      <c r="E700" s="12"/>
      <c r="F700" s="12"/>
      <c r="G700" s="12"/>
      <c r="H700" s="12"/>
      <c r="I700" s="12"/>
      <c r="J700" s="14"/>
      <c r="K700" s="12"/>
      <c r="L700" s="14"/>
      <c r="M700" s="12"/>
      <c r="N700" s="12"/>
      <c r="O700" s="14"/>
      <c r="P700" s="12"/>
      <c r="Q700" s="15"/>
      <c r="R700" s="15"/>
      <c r="S700" s="21"/>
      <c r="T700" s="12"/>
      <c r="U700" s="46"/>
      <c r="V700" s="23"/>
      <c r="W700" s="22" t="str">
        <f t="array" ref="W700">IF(A700="","",IFERROR(INDEX(PARAMETROS!$J$2:$J700,MATCH(H700,PARAMETROS!$E$2:$E700,0)),""))</f>
        <v/>
      </c>
      <c r="X700" s="23" t="str">
        <f t="shared" si="2"/>
        <v/>
      </c>
    </row>
  </sheetData>
  <customSheetViews>
    <customSheetView guid="{B15EFF6A-9BEB-49B0-B8BA-DD9BF59B2FBE}" filter="1" showAutoFilter="1">
      <pageMargins left="0" right="0" top="0" bottom="0" header="0" footer="0"/>
      <autoFilter ref="A1:X247" xr:uid="{42CB7085-4C6F-4040-A4FA-C9139010E9DF}"/>
    </customSheetView>
    <customSheetView guid="{181F5CB1-F6C1-4A0F-A1AC-1EAA41D45ADF}" filter="1" showAutoFilter="1">
      <pageMargins left="0" right="0" top="0" bottom="0" header="0" footer="0"/>
      <autoFilter ref="A1:X245" xr:uid="{47687A92-F9B9-4DB3-A545-5F69E1ED31AF}">
        <filterColumn colId="19">
          <filters blank="1"/>
        </filterColumn>
      </autoFilter>
    </customSheetView>
    <customSheetView guid="{7A8B6077-8358-46C7-B6EB-0CCDA99BB991}" filter="1" showAutoFilter="1">
      <pageMargins left="0" right="0" top="0" bottom="0" header="0" footer="0"/>
      <autoFilter ref="A1:X214" xr:uid="{2A88B812-7B76-4763-81E7-A443909F6E6A}">
        <filterColumn colId="19">
          <filters blank="1"/>
        </filterColumn>
      </autoFilter>
    </customSheetView>
  </customSheetViews>
  <dataValidations count="2">
    <dataValidation type="custom" allowBlank="1" showDropDown="1" sqref="O2:O68 O70:O167" xr:uid="{00000000-0002-0000-0500-000000000000}">
      <formula1>OR(NOT(ISERROR(DATEVALUE(O2))), AND(ISNUMBER(O2), LEFT(CELL("format", O2))="D"))</formula1>
    </dataValidation>
    <dataValidation type="custom" allowBlank="1" showDropDown="1" showErrorMessage="1" sqref="J2:J167 L2:L167" xr:uid="{00000000-0002-0000-0500-000001000000}">
      <formula1>OR(NOT(ISERROR(DATEVALUE(J2))), AND(ISNUMBER(J2), LEFT(CELL("format", J2))="D"))</formula1>
    </dataValidation>
  </dataValidations>
  <pageMargins left="0.7" right="0.7" top="0.75" bottom="0.75" header="0.3" footer="0.3"/>
  <legacyDrawing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X245"/>
  <sheetViews>
    <sheetView workbookViewId="0"/>
  </sheetViews>
  <sheetFormatPr defaultColWidth="12.5703125" defaultRowHeight="15.75" customHeight="1"/>
  <sheetData>
    <row r="1" spans="1:24">
      <c r="A1" s="1" t="s">
        <v>0</v>
      </c>
      <c r="B1" s="1" t="s">
        <v>1</v>
      </c>
      <c r="C1" s="1" t="s">
        <v>2</v>
      </c>
      <c r="D1" s="2" t="s">
        <v>3</v>
      </c>
      <c r="E1" s="2" t="s">
        <v>226</v>
      </c>
      <c r="F1" s="3" t="s">
        <v>5</v>
      </c>
      <c r="G1" s="4" t="s">
        <v>227</v>
      </c>
      <c r="H1" s="3" t="s">
        <v>7</v>
      </c>
      <c r="I1" s="3" t="s">
        <v>8</v>
      </c>
      <c r="J1" s="5" t="s">
        <v>228</v>
      </c>
      <c r="K1" s="5" t="s">
        <v>9</v>
      </c>
      <c r="L1" s="5" t="s">
        <v>229</v>
      </c>
      <c r="M1" s="6" t="s">
        <v>11</v>
      </c>
      <c r="N1" s="6" t="s">
        <v>230</v>
      </c>
      <c r="O1" s="16" t="s">
        <v>231</v>
      </c>
      <c r="P1" s="17" t="s">
        <v>14</v>
      </c>
      <c r="Q1" s="17" t="s">
        <v>232</v>
      </c>
      <c r="R1" s="17" t="s">
        <v>233</v>
      </c>
      <c r="S1" s="16" t="s">
        <v>234</v>
      </c>
      <c r="T1" s="17" t="s">
        <v>235</v>
      </c>
      <c r="U1" s="17" t="s">
        <v>236</v>
      </c>
      <c r="V1" s="17" t="s">
        <v>265</v>
      </c>
      <c r="W1" s="17" t="s">
        <v>238</v>
      </c>
      <c r="X1" s="17" t="s">
        <v>239</v>
      </c>
    </row>
    <row r="2" spans="1:24">
      <c r="A2" s="25" t="s">
        <v>266</v>
      </c>
      <c r="B2" s="25" t="s">
        <v>267</v>
      </c>
      <c r="C2" s="25" t="s">
        <v>20</v>
      </c>
      <c r="D2" s="25" t="s">
        <v>21</v>
      </c>
      <c r="E2" s="25" t="s">
        <v>268</v>
      </c>
      <c r="F2" s="25" t="s">
        <v>23</v>
      </c>
      <c r="G2" s="25" t="s">
        <v>269</v>
      </c>
      <c r="H2" s="25" t="s">
        <v>143</v>
      </c>
      <c r="I2" s="25" t="s">
        <v>107</v>
      </c>
      <c r="J2" s="25">
        <v>43042</v>
      </c>
      <c r="K2" s="25" t="s">
        <v>270</v>
      </c>
      <c r="L2" s="25">
        <v>43052</v>
      </c>
      <c r="M2" s="25">
        <v>2017</v>
      </c>
      <c r="N2" s="25">
        <v>110</v>
      </c>
      <c r="O2" s="25">
        <v>43097</v>
      </c>
      <c r="P2" s="25">
        <v>2017</v>
      </c>
      <c r="Q2" s="25">
        <v>110</v>
      </c>
      <c r="R2" s="25">
        <v>59</v>
      </c>
      <c r="S2" s="25">
        <v>31</v>
      </c>
      <c r="T2" s="25">
        <v>31</v>
      </c>
      <c r="U2" s="25">
        <v>0</v>
      </c>
      <c r="V2" s="25" t="s">
        <v>22</v>
      </c>
      <c r="W2" s="25" t="s">
        <v>261</v>
      </c>
      <c r="X2" s="25">
        <v>3.5483870967741935</v>
      </c>
    </row>
    <row r="3" spans="1:24">
      <c r="A3" s="25" t="s">
        <v>271</v>
      </c>
      <c r="B3" s="25" t="s">
        <v>272</v>
      </c>
      <c r="C3" s="25" t="s">
        <v>20</v>
      </c>
      <c r="D3" s="25" t="s">
        <v>21</v>
      </c>
      <c r="E3" s="25" t="s">
        <v>268</v>
      </c>
      <c r="F3" s="25" t="s">
        <v>23</v>
      </c>
      <c r="G3" s="25" t="s">
        <v>273</v>
      </c>
      <c r="H3" s="25" t="s">
        <v>65</v>
      </c>
      <c r="I3" s="25" t="s">
        <v>65</v>
      </c>
      <c r="J3" s="25">
        <v>43061</v>
      </c>
      <c r="K3" s="25" t="s">
        <v>274</v>
      </c>
      <c r="L3" s="25">
        <v>43061</v>
      </c>
      <c r="M3" s="25">
        <v>2017</v>
      </c>
      <c r="N3" s="25">
        <v>17</v>
      </c>
      <c r="O3" s="25">
        <v>43070</v>
      </c>
      <c r="P3" s="25">
        <v>2017</v>
      </c>
      <c r="Q3" s="25">
        <v>17</v>
      </c>
      <c r="R3" s="25">
        <v>11</v>
      </c>
      <c r="S3" s="25">
        <v>8</v>
      </c>
      <c r="T3" s="25">
        <v>8</v>
      </c>
      <c r="U3" s="25">
        <v>0</v>
      </c>
      <c r="V3" s="25" t="s">
        <v>22</v>
      </c>
      <c r="W3" s="25" t="s">
        <v>263</v>
      </c>
      <c r="X3" s="25">
        <v>2.125</v>
      </c>
    </row>
    <row r="4" spans="1:24">
      <c r="A4" s="25" t="s">
        <v>275</v>
      </c>
      <c r="B4" s="25" t="s">
        <v>276</v>
      </c>
      <c r="C4" s="25" t="s">
        <v>20</v>
      </c>
      <c r="D4" s="25" t="s">
        <v>21</v>
      </c>
      <c r="E4" s="25" t="s">
        <v>268</v>
      </c>
      <c r="F4" s="25" t="s">
        <v>23</v>
      </c>
      <c r="G4" s="25" t="s">
        <v>273</v>
      </c>
      <c r="H4" s="25" t="s">
        <v>143</v>
      </c>
      <c r="I4" s="25" t="s">
        <v>107</v>
      </c>
      <c r="J4" s="25">
        <v>43069</v>
      </c>
      <c r="K4" s="25" t="s">
        <v>277</v>
      </c>
      <c r="L4" s="25">
        <v>43080</v>
      </c>
      <c r="M4" s="25">
        <v>2017</v>
      </c>
      <c r="N4" s="25">
        <v>77</v>
      </c>
      <c r="O4" s="25">
        <v>43199</v>
      </c>
      <c r="P4" s="25">
        <v>2018</v>
      </c>
      <c r="Q4" s="25">
        <v>77</v>
      </c>
      <c r="R4" s="25">
        <v>59</v>
      </c>
      <c r="S4" s="25">
        <v>80</v>
      </c>
      <c r="T4" s="25">
        <v>80</v>
      </c>
      <c r="U4" s="25">
        <v>0</v>
      </c>
      <c r="V4" s="25" t="s">
        <v>22</v>
      </c>
      <c r="W4" s="25" t="s">
        <v>261</v>
      </c>
      <c r="X4" s="25">
        <v>0.96250000000000002</v>
      </c>
    </row>
    <row r="5" spans="1:24">
      <c r="A5" s="25" t="s">
        <v>278</v>
      </c>
      <c r="B5" s="25" t="s">
        <v>279</v>
      </c>
      <c r="C5" s="25" t="s">
        <v>20</v>
      </c>
      <c r="D5" s="25" t="s">
        <v>21</v>
      </c>
      <c r="E5" s="25" t="s">
        <v>268</v>
      </c>
      <c r="F5" s="25" t="s">
        <v>23</v>
      </c>
      <c r="G5" s="25" t="s">
        <v>269</v>
      </c>
      <c r="H5" s="25" t="s">
        <v>107</v>
      </c>
      <c r="I5" s="25" t="s">
        <v>107</v>
      </c>
      <c r="J5" s="25">
        <v>43069</v>
      </c>
      <c r="K5" s="25" t="s">
        <v>280</v>
      </c>
      <c r="L5" s="25">
        <v>43075</v>
      </c>
      <c r="M5" s="25">
        <v>2017</v>
      </c>
      <c r="N5" s="25">
        <v>39</v>
      </c>
      <c r="O5" s="25">
        <v>43089</v>
      </c>
      <c r="P5" s="25">
        <v>2017</v>
      </c>
      <c r="Q5" s="25">
        <v>39</v>
      </c>
      <c r="R5" s="25">
        <v>37</v>
      </c>
      <c r="S5" s="25">
        <v>10</v>
      </c>
      <c r="T5" s="25">
        <v>10</v>
      </c>
      <c r="U5" s="25">
        <v>0</v>
      </c>
      <c r="V5" s="25" t="s">
        <v>22</v>
      </c>
      <c r="W5" s="25" t="s">
        <v>261</v>
      </c>
      <c r="X5" s="25">
        <v>3.9</v>
      </c>
    </row>
    <row r="6" spans="1:24">
      <c r="A6" s="25" t="s">
        <v>281</v>
      </c>
      <c r="B6" s="25" t="s">
        <v>282</v>
      </c>
      <c r="C6" s="25" t="s">
        <v>20</v>
      </c>
      <c r="D6" s="25" t="s">
        <v>21</v>
      </c>
      <c r="E6" s="25" t="s">
        <v>268</v>
      </c>
      <c r="F6" s="25" t="s">
        <v>23</v>
      </c>
      <c r="G6" s="25" t="s">
        <v>269</v>
      </c>
      <c r="H6" s="25" t="s">
        <v>107</v>
      </c>
      <c r="I6" s="25" t="s">
        <v>107</v>
      </c>
      <c r="J6" s="25">
        <v>43069</v>
      </c>
      <c r="K6" s="25" t="s">
        <v>283</v>
      </c>
      <c r="L6" s="25">
        <v>43070</v>
      </c>
      <c r="M6" s="25">
        <v>2017</v>
      </c>
      <c r="N6" s="25">
        <v>154</v>
      </c>
      <c r="O6" s="25">
        <v>43181</v>
      </c>
      <c r="P6" s="25">
        <v>2018</v>
      </c>
      <c r="Q6" s="25">
        <v>154</v>
      </c>
      <c r="R6" s="25">
        <v>118</v>
      </c>
      <c r="S6" s="25">
        <v>75</v>
      </c>
      <c r="T6" s="25">
        <v>75</v>
      </c>
      <c r="U6" s="25">
        <v>0</v>
      </c>
      <c r="V6" s="25" t="s">
        <v>22</v>
      </c>
      <c r="W6" s="25" t="s">
        <v>261</v>
      </c>
      <c r="X6" s="25">
        <v>2.0533333333333332</v>
      </c>
    </row>
    <row r="7" spans="1:24">
      <c r="A7" s="25" t="s">
        <v>284</v>
      </c>
      <c r="B7" s="25" t="s">
        <v>285</v>
      </c>
      <c r="C7" s="25" t="s">
        <v>20</v>
      </c>
      <c r="D7" s="25" t="s">
        <v>21</v>
      </c>
      <c r="E7" s="25" t="s">
        <v>268</v>
      </c>
      <c r="F7" s="25" t="s">
        <v>23</v>
      </c>
      <c r="G7" s="25" t="s">
        <v>273</v>
      </c>
      <c r="H7" s="25" t="s">
        <v>143</v>
      </c>
      <c r="I7" s="25" t="s">
        <v>107</v>
      </c>
      <c r="J7" s="25">
        <v>43073</v>
      </c>
      <c r="K7" s="25" t="s">
        <v>286</v>
      </c>
      <c r="L7" s="25">
        <v>43076</v>
      </c>
      <c r="M7" s="25">
        <v>2017</v>
      </c>
      <c r="N7" s="25">
        <v>95</v>
      </c>
      <c r="O7" s="25">
        <v>43098</v>
      </c>
      <c r="P7" s="25">
        <v>2017</v>
      </c>
      <c r="Q7" s="25">
        <v>95</v>
      </c>
      <c r="R7" s="25">
        <v>61</v>
      </c>
      <c r="S7" s="25">
        <v>14</v>
      </c>
      <c r="T7" s="25">
        <v>14</v>
      </c>
      <c r="U7" s="25">
        <v>0</v>
      </c>
      <c r="V7" s="25" t="s">
        <v>22</v>
      </c>
      <c r="W7" s="25" t="s">
        <v>261</v>
      </c>
      <c r="X7" s="25">
        <v>6.7857142857142856</v>
      </c>
    </row>
    <row r="8" spans="1:24">
      <c r="A8" s="25" t="s">
        <v>287</v>
      </c>
      <c r="B8" s="25" t="s">
        <v>288</v>
      </c>
      <c r="C8" s="25" t="s">
        <v>20</v>
      </c>
      <c r="D8" s="25" t="s">
        <v>21</v>
      </c>
      <c r="E8" s="25" t="s">
        <v>268</v>
      </c>
      <c r="F8" s="25" t="s">
        <v>23</v>
      </c>
      <c r="G8" s="25" t="s">
        <v>273</v>
      </c>
      <c r="H8" s="25" t="s">
        <v>107</v>
      </c>
      <c r="I8" s="25" t="s">
        <v>107</v>
      </c>
      <c r="J8" s="25">
        <v>43097</v>
      </c>
      <c r="K8" s="25" t="s">
        <v>289</v>
      </c>
      <c r="L8" s="25">
        <v>43104</v>
      </c>
      <c r="M8" s="25">
        <v>2018</v>
      </c>
      <c r="N8" s="25">
        <v>66</v>
      </c>
      <c r="O8" s="25">
        <v>43178</v>
      </c>
      <c r="P8" s="25">
        <v>2018</v>
      </c>
      <c r="Q8" s="25">
        <v>66</v>
      </c>
      <c r="R8" s="25">
        <v>33</v>
      </c>
      <c r="S8" s="25">
        <v>53</v>
      </c>
      <c r="T8" s="25">
        <v>53</v>
      </c>
      <c r="U8" s="25">
        <v>0</v>
      </c>
      <c r="V8" s="25" t="s">
        <v>22</v>
      </c>
      <c r="W8" s="25" t="s">
        <v>261</v>
      </c>
      <c r="X8" s="25">
        <v>1.2452830188679245</v>
      </c>
    </row>
    <row r="9" spans="1:24">
      <c r="A9" s="25" t="s">
        <v>290</v>
      </c>
      <c r="B9" s="25" t="s">
        <v>291</v>
      </c>
      <c r="C9" s="25" t="s">
        <v>20</v>
      </c>
      <c r="D9" s="25" t="s">
        <v>21</v>
      </c>
      <c r="E9" s="25" t="s">
        <v>268</v>
      </c>
      <c r="F9" s="25" t="s">
        <v>23</v>
      </c>
      <c r="G9" s="25" t="s">
        <v>273</v>
      </c>
      <c r="H9" s="25" t="s">
        <v>107</v>
      </c>
      <c r="I9" s="25" t="s">
        <v>107</v>
      </c>
      <c r="J9" s="25">
        <v>43098</v>
      </c>
      <c r="K9" s="25" t="s">
        <v>292</v>
      </c>
      <c r="L9" s="25">
        <v>43112</v>
      </c>
      <c r="M9" s="25">
        <v>2018</v>
      </c>
      <c r="N9" s="25">
        <v>104</v>
      </c>
      <c r="O9" s="25">
        <v>43165</v>
      </c>
      <c r="P9" s="25">
        <v>2018</v>
      </c>
      <c r="Q9" s="25">
        <v>104</v>
      </c>
      <c r="R9" s="25">
        <v>48</v>
      </c>
      <c r="S9" s="25">
        <v>38</v>
      </c>
      <c r="T9" s="25">
        <v>38</v>
      </c>
      <c r="U9" s="25">
        <v>0</v>
      </c>
      <c r="V9" s="25" t="s">
        <v>22</v>
      </c>
      <c r="W9" s="25" t="s">
        <v>261</v>
      </c>
      <c r="X9" s="25">
        <v>2.736842105263158</v>
      </c>
    </row>
    <row r="10" spans="1:24">
      <c r="A10" s="25" t="s">
        <v>293</v>
      </c>
      <c r="B10" s="25" t="s">
        <v>294</v>
      </c>
      <c r="C10" s="25" t="s">
        <v>20</v>
      </c>
      <c r="D10" s="25" t="s">
        <v>21</v>
      </c>
      <c r="E10" s="25" t="s">
        <v>268</v>
      </c>
      <c r="F10" s="25" t="s">
        <v>23</v>
      </c>
      <c r="G10" s="25" t="s">
        <v>269</v>
      </c>
      <c r="H10" s="25" t="s">
        <v>143</v>
      </c>
      <c r="I10" s="25" t="s">
        <v>107</v>
      </c>
      <c r="J10" s="25">
        <v>43098</v>
      </c>
      <c r="K10" s="25" t="s">
        <v>295</v>
      </c>
      <c r="L10" s="25">
        <v>43103</v>
      </c>
      <c r="M10" s="25">
        <v>2018</v>
      </c>
      <c r="N10" s="25">
        <v>35</v>
      </c>
      <c r="O10" s="25">
        <v>43132</v>
      </c>
      <c r="P10" s="25">
        <v>2018</v>
      </c>
      <c r="Q10" s="25">
        <v>35</v>
      </c>
      <c r="R10" s="25">
        <v>22</v>
      </c>
      <c r="S10" s="25">
        <v>22</v>
      </c>
      <c r="T10" s="25">
        <v>22</v>
      </c>
      <c r="U10" s="25">
        <v>0</v>
      </c>
      <c r="V10" s="25" t="s">
        <v>22</v>
      </c>
      <c r="W10" s="25" t="s">
        <v>261</v>
      </c>
      <c r="X10" s="25">
        <v>1.5909090909090908</v>
      </c>
    </row>
    <row r="11" spans="1:24">
      <c r="A11" s="25" t="s">
        <v>296</v>
      </c>
      <c r="B11" s="25" t="s">
        <v>297</v>
      </c>
      <c r="C11" s="25" t="s">
        <v>20</v>
      </c>
      <c r="D11" s="25" t="s">
        <v>21</v>
      </c>
      <c r="E11" s="25" t="s">
        <v>268</v>
      </c>
      <c r="F11" s="25" t="s">
        <v>23</v>
      </c>
      <c r="G11" s="25" t="s">
        <v>273</v>
      </c>
      <c r="H11" s="25" t="s">
        <v>107</v>
      </c>
      <c r="I11" s="25" t="s">
        <v>107</v>
      </c>
      <c r="J11" s="25">
        <v>43116</v>
      </c>
      <c r="K11" s="25" t="s">
        <v>298</v>
      </c>
      <c r="L11" s="25">
        <v>43123</v>
      </c>
      <c r="M11" s="25">
        <v>2018</v>
      </c>
      <c r="N11" s="25">
        <v>99</v>
      </c>
      <c r="O11" s="25">
        <v>43229</v>
      </c>
      <c r="P11" s="25">
        <v>2018</v>
      </c>
      <c r="Q11" s="25">
        <v>99</v>
      </c>
      <c r="R11" s="25">
        <v>49</v>
      </c>
      <c r="S11" s="25">
        <v>74</v>
      </c>
      <c r="T11" s="25">
        <v>74</v>
      </c>
      <c r="U11" s="25">
        <v>0</v>
      </c>
      <c r="V11" s="25" t="s">
        <v>22</v>
      </c>
      <c r="W11" s="25" t="s">
        <v>261</v>
      </c>
      <c r="X11" s="25">
        <v>1.3378378378378379</v>
      </c>
    </row>
    <row r="12" spans="1:24">
      <c r="A12" s="25" t="s">
        <v>299</v>
      </c>
      <c r="B12" s="25" t="s">
        <v>300</v>
      </c>
      <c r="C12" s="25" t="s">
        <v>20</v>
      </c>
      <c r="D12" s="25" t="s">
        <v>21</v>
      </c>
      <c r="E12" s="25" t="s">
        <v>268</v>
      </c>
      <c r="F12" s="25" t="s">
        <v>23</v>
      </c>
      <c r="G12" s="25" t="s">
        <v>273</v>
      </c>
      <c r="H12" s="25" t="s">
        <v>107</v>
      </c>
      <c r="I12" s="25" t="s">
        <v>107</v>
      </c>
      <c r="J12" s="25">
        <v>43123</v>
      </c>
      <c r="K12" s="25" t="s">
        <v>301</v>
      </c>
      <c r="L12" s="25">
        <v>43125</v>
      </c>
      <c r="M12" s="25">
        <v>2018</v>
      </c>
      <c r="N12" s="25">
        <v>127</v>
      </c>
      <c r="O12" s="25">
        <v>43164</v>
      </c>
      <c r="P12" s="25">
        <v>2018</v>
      </c>
      <c r="Q12" s="25">
        <v>127</v>
      </c>
      <c r="R12" s="25">
        <v>102</v>
      </c>
      <c r="S12" s="25">
        <v>28</v>
      </c>
      <c r="T12" s="25">
        <v>28</v>
      </c>
      <c r="U12" s="25">
        <v>0</v>
      </c>
      <c r="V12" s="25" t="s">
        <v>22</v>
      </c>
      <c r="W12" s="25" t="s">
        <v>261</v>
      </c>
      <c r="X12" s="25">
        <v>4.5357142857142856</v>
      </c>
    </row>
    <row r="13" spans="1:24">
      <c r="A13" s="25" t="s">
        <v>302</v>
      </c>
      <c r="B13" s="25" t="s">
        <v>303</v>
      </c>
      <c r="C13" s="25" t="s">
        <v>20</v>
      </c>
      <c r="D13" s="25" t="s">
        <v>21</v>
      </c>
      <c r="E13" s="25" t="s">
        <v>268</v>
      </c>
      <c r="F13" s="25" t="s">
        <v>23</v>
      </c>
      <c r="G13" s="25" t="s">
        <v>273</v>
      </c>
      <c r="H13" s="25" t="s">
        <v>107</v>
      </c>
      <c r="I13" s="25" t="s">
        <v>107</v>
      </c>
      <c r="J13" s="25">
        <v>43147</v>
      </c>
      <c r="K13" s="25" t="s">
        <v>304</v>
      </c>
      <c r="L13" s="25">
        <v>43147</v>
      </c>
      <c r="M13" s="25">
        <v>2018</v>
      </c>
      <c r="N13" s="25">
        <v>68</v>
      </c>
      <c r="O13" s="25">
        <v>43175</v>
      </c>
      <c r="P13" s="25">
        <v>2018</v>
      </c>
      <c r="Q13" s="25">
        <v>68</v>
      </c>
      <c r="R13" s="25">
        <v>57</v>
      </c>
      <c r="S13" s="25">
        <v>21</v>
      </c>
      <c r="T13" s="25">
        <v>21</v>
      </c>
      <c r="U13" s="25">
        <v>0</v>
      </c>
      <c r="V13" s="25" t="s">
        <v>22</v>
      </c>
      <c r="W13" s="25" t="s">
        <v>261</v>
      </c>
      <c r="X13" s="25">
        <v>3.2380952380952381</v>
      </c>
    </row>
    <row r="14" spans="1:24">
      <c r="A14" s="25" t="s">
        <v>305</v>
      </c>
      <c r="B14" s="25" t="s">
        <v>306</v>
      </c>
      <c r="C14" s="25" t="s">
        <v>20</v>
      </c>
      <c r="D14" s="25" t="s">
        <v>21</v>
      </c>
      <c r="E14" s="25" t="s">
        <v>268</v>
      </c>
      <c r="F14" s="25" t="s">
        <v>23</v>
      </c>
      <c r="G14" s="25" t="s">
        <v>273</v>
      </c>
      <c r="H14" s="25" t="s">
        <v>107</v>
      </c>
      <c r="I14" s="25" t="s">
        <v>107</v>
      </c>
      <c r="J14" s="25">
        <v>43160</v>
      </c>
      <c r="K14" s="25" t="s">
        <v>307</v>
      </c>
      <c r="L14" s="25">
        <v>43160</v>
      </c>
      <c r="M14" s="25">
        <v>2018</v>
      </c>
      <c r="N14" s="25">
        <v>47</v>
      </c>
      <c r="O14" s="25">
        <v>43230</v>
      </c>
      <c r="P14" s="25">
        <v>2018</v>
      </c>
      <c r="Q14" s="25">
        <v>47</v>
      </c>
      <c r="R14" s="25">
        <v>43</v>
      </c>
      <c r="S14" s="25">
        <v>48</v>
      </c>
      <c r="T14" s="25">
        <v>48</v>
      </c>
      <c r="U14" s="25">
        <v>0</v>
      </c>
      <c r="V14" s="25" t="s">
        <v>22</v>
      </c>
      <c r="W14" s="25" t="s">
        <v>261</v>
      </c>
      <c r="X14" s="25">
        <v>0.97916666666666663</v>
      </c>
    </row>
    <row r="15" spans="1:24">
      <c r="A15" s="25" t="s">
        <v>308</v>
      </c>
      <c r="B15" s="25" t="s">
        <v>309</v>
      </c>
      <c r="C15" s="25" t="s">
        <v>20</v>
      </c>
      <c r="D15" s="25" t="s">
        <v>21</v>
      </c>
      <c r="E15" s="25" t="s">
        <v>268</v>
      </c>
      <c r="F15" s="25" t="s">
        <v>23</v>
      </c>
      <c r="G15" s="25" t="s">
        <v>273</v>
      </c>
      <c r="H15" s="25" t="s">
        <v>69</v>
      </c>
      <c r="I15" s="25" t="s">
        <v>69</v>
      </c>
      <c r="J15" s="25">
        <v>43368</v>
      </c>
      <c r="K15" s="25" t="s">
        <v>310</v>
      </c>
      <c r="L15" s="25">
        <v>43377</v>
      </c>
      <c r="M15" s="25">
        <v>2018</v>
      </c>
      <c r="N15" s="25">
        <v>40</v>
      </c>
      <c r="O15" s="25">
        <v>43445</v>
      </c>
      <c r="P15" s="25">
        <v>2018</v>
      </c>
      <c r="Q15" s="25">
        <v>40</v>
      </c>
      <c r="R15" s="25">
        <v>32</v>
      </c>
      <c r="S15" s="25">
        <v>46</v>
      </c>
      <c r="T15" s="25">
        <v>46</v>
      </c>
      <c r="U15" s="25">
        <v>0</v>
      </c>
      <c r="V15" s="25" t="s">
        <v>22</v>
      </c>
      <c r="W15" s="25" t="s">
        <v>261</v>
      </c>
      <c r="X15" s="25">
        <v>0.86956521739130432</v>
      </c>
    </row>
    <row r="16" spans="1:24">
      <c r="A16" s="25" t="s">
        <v>311</v>
      </c>
      <c r="B16" s="25" t="s">
        <v>312</v>
      </c>
      <c r="C16" s="25" t="s">
        <v>20</v>
      </c>
      <c r="D16" s="25" t="s">
        <v>21</v>
      </c>
      <c r="E16" s="25" t="s">
        <v>268</v>
      </c>
      <c r="F16" s="25" t="s">
        <v>23</v>
      </c>
      <c r="G16" s="25" t="s">
        <v>269</v>
      </c>
      <c r="H16" s="25" t="s">
        <v>69</v>
      </c>
      <c r="I16" s="25" t="s">
        <v>69</v>
      </c>
      <c r="J16" s="25">
        <v>43249</v>
      </c>
      <c r="K16" s="25" t="s">
        <v>313</v>
      </c>
      <c r="L16" s="25">
        <v>43256</v>
      </c>
      <c r="M16" s="25">
        <v>2018</v>
      </c>
      <c r="N16" s="25">
        <v>46</v>
      </c>
      <c r="O16" s="25">
        <v>43312</v>
      </c>
      <c r="P16" s="25">
        <v>2018</v>
      </c>
      <c r="Q16" s="25">
        <v>46</v>
      </c>
      <c r="R16" s="25">
        <v>39</v>
      </c>
      <c r="S16" s="25">
        <v>39</v>
      </c>
      <c r="T16" s="25">
        <v>39</v>
      </c>
      <c r="U16" s="25">
        <v>0</v>
      </c>
      <c r="V16" s="25" t="s">
        <v>22</v>
      </c>
      <c r="W16" s="25" t="s">
        <v>261</v>
      </c>
      <c r="X16" s="25">
        <v>1.1794871794871795</v>
      </c>
    </row>
    <row r="17" spans="1:24">
      <c r="A17" s="25" t="s">
        <v>314</v>
      </c>
      <c r="B17" s="25" t="s">
        <v>315</v>
      </c>
      <c r="C17" s="25" t="s">
        <v>20</v>
      </c>
      <c r="D17" s="25" t="s">
        <v>21</v>
      </c>
      <c r="E17" s="25" t="s">
        <v>268</v>
      </c>
      <c r="F17" s="25" t="s">
        <v>23</v>
      </c>
      <c r="G17" s="25" t="s">
        <v>269</v>
      </c>
      <c r="H17" s="25" t="s">
        <v>69</v>
      </c>
      <c r="I17" s="25" t="s">
        <v>69</v>
      </c>
      <c r="J17" s="25">
        <v>43298</v>
      </c>
      <c r="K17" s="25" t="s">
        <v>316</v>
      </c>
      <c r="L17" s="25">
        <v>43304</v>
      </c>
      <c r="M17" s="25">
        <v>2018</v>
      </c>
      <c r="N17" s="25">
        <v>267</v>
      </c>
      <c r="O17" s="25">
        <v>43322</v>
      </c>
      <c r="P17" s="25">
        <v>2018</v>
      </c>
      <c r="Q17" s="25">
        <v>267</v>
      </c>
      <c r="R17" s="25">
        <v>210</v>
      </c>
      <c r="S17" s="25">
        <v>14</v>
      </c>
      <c r="T17" s="25">
        <v>14</v>
      </c>
      <c r="U17" s="25">
        <v>0</v>
      </c>
      <c r="V17" s="25" t="s">
        <v>22</v>
      </c>
      <c r="W17" s="25" t="s">
        <v>261</v>
      </c>
      <c r="X17" s="25">
        <v>19.071428571428573</v>
      </c>
    </row>
    <row r="18" spans="1:24">
      <c r="A18" s="25" t="s">
        <v>317</v>
      </c>
      <c r="B18" s="25" t="s">
        <v>318</v>
      </c>
      <c r="C18" s="25" t="s">
        <v>20</v>
      </c>
      <c r="D18" s="25" t="s">
        <v>21</v>
      </c>
      <c r="E18" s="25" t="s">
        <v>268</v>
      </c>
      <c r="F18" s="25" t="s">
        <v>23</v>
      </c>
      <c r="G18" s="25" t="s">
        <v>273</v>
      </c>
      <c r="H18" s="25" t="s">
        <v>69</v>
      </c>
      <c r="I18" s="25" t="s">
        <v>69</v>
      </c>
      <c r="J18" s="25">
        <v>43313</v>
      </c>
      <c r="K18" s="25" t="s">
        <v>319</v>
      </c>
      <c r="L18" s="25">
        <v>43315</v>
      </c>
      <c r="M18" s="25">
        <v>2018</v>
      </c>
      <c r="N18" s="25">
        <v>281</v>
      </c>
      <c r="O18" s="25">
        <v>43399</v>
      </c>
      <c r="P18" s="25">
        <v>2018</v>
      </c>
      <c r="Q18" s="25">
        <v>281</v>
      </c>
      <c r="R18" s="25">
        <v>160</v>
      </c>
      <c r="S18" s="25">
        <v>57</v>
      </c>
      <c r="T18" s="25">
        <v>57</v>
      </c>
      <c r="U18" s="25">
        <v>0</v>
      </c>
      <c r="V18" s="25" t="s">
        <v>22</v>
      </c>
      <c r="W18" s="25" t="s">
        <v>261</v>
      </c>
      <c r="X18" s="25">
        <v>4.9298245614035086</v>
      </c>
    </row>
    <row r="19" spans="1:24">
      <c r="A19" s="25" t="s">
        <v>320</v>
      </c>
      <c r="B19" s="25" t="s">
        <v>321</v>
      </c>
      <c r="C19" s="25" t="s">
        <v>20</v>
      </c>
      <c r="D19" s="25" t="s">
        <v>21</v>
      </c>
      <c r="E19" s="25" t="s">
        <v>268</v>
      </c>
      <c r="F19" s="25" t="s">
        <v>23</v>
      </c>
      <c r="G19" s="25" t="s">
        <v>273</v>
      </c>
      <c r="H19" s="25" t="s">
        <v>69</v>
      </c>
      <c r="I19" s="25" t="s">
        <v>69</v>
      </c>
      <c r="J19" s="25">
        <v>43390</v>
      </c>
      <c r="K19" s="25" t="s">
        <v>322</v>
      </c>
      <c r="L19" s="25">
        <v>43397</v>
      </c>
      <c r="M19" s="25">
        <v>2018</v>
      </c>
      <c r="N19" s="25">
        <v>115</v>
      </c>
      <c r="O19" s="25">
        <v>43445</v>
      </c>
      <c r="P19" s="25">
        <v>2018</v>
      </c>
      <c r="Q19" s="25">
        <v>115</v>
      </c>
      <c r="R19" s="25">
        <v>73</v>
      </c>
      <c r="S19" s="25">
        <v>33</v>
      </c>
      <c r="T19" s="25">
        <v>33</v>
      </c>
      <c r="U19" s="25">
        <v>0</v>
      </c>
      <c r="V19" s="25" t="s">
        <v>22</v>
      </c>
      <c r="W19" s="25" t="s">
        <v>261</v>
      </c>
      <c r="X19" s="25">
        <v>3.4848484848484849</v>
      </c>
    </row>
    <row r="20" spans="1:24">
      <c r="A20" s="25" t="s">
        <v>323</v>
      </c>
      <c r="B20" s="25" t="s">
        <v>324</v>
      </c>
      <c r="C20" s="25" t="s">
        <v>20</v>
      </c>
      <c r="D20" s="25" t="s">
        <v>21</v>
      </c>
      <c r="E20" s="25" t="s">
        <v>268</v>
      </c>
      <c r="F20" s="25" t="s">
        <v>23</v>
      </c>
      <c r="G20" s="25" t="s">
        <v>273</v>
      </c>
      <c r="H20" s="25" t="s">
        <v>69</v>
      </c>
      <c r="I20" s="25" t="s">
        <v>69</v>
      </c>
      <c r="J20" s="25">
        <v>43252</v>
      </c>
      <c r="K20" s="25" t="s">
        <v>325</v>
      </c>
      <c r="L20" s="25">
        <v>43257</v>
      </c>
      <c r="M20" s="25">
        <v>2018</v>
      </c>
      <c r="N20" s="25">
        <v>124</v>
      </c>
      <c r="O20" s="25">
        <v>43395</v>
      </c>
      <c r="P20" s="25">
        <v>2018</v>
      </c>
      <c r="Q20" s="25">
        <v>124</v>
      </c>
      <c r="R20" s="25">
        <v>85</v>
      </c>
      <c r="S20" s="25">
        <v>93</v>
      </c>
      <c r="T20" s="25">
        <v>93</v>
      </c>
      <c r="U20" s="25">
        <v>0</v>
      </c>
      <c r="V20" s="25" t="s">
        <v>22</v>
      </c>
      <c r="W20" s="25" t="s">
        <v>261</v>
      </c>
      <c r="X20" s="25">
        <v>1.3333333333333333</v>
      </c>
    </row>
    <row r="21" spans="1:24">
      <c r="A21" s="25" t="s">
        <v>326</v>
      </c>
      <c r="B21" s="25" t="s">
        <v>327</v>
      </c>
      <c r="C21" s="25" t="s">
        <v>20</v>
      </c>
      <c r="D21" s="25" t="s">
        <v>21</v>
      </c>
      <c r="E21" s="25" t="s">
        <v>268</v>
      </c>
      <c r="F21" s="25" t="s">
        <v>23</v>
      </c>
      <c r="G21" s="25" t="s">
        <v>269</v>
      </c>
      <c r="H21" s="25" t="s">
        <v>69</v>
      </c>
      <c r="I21" s="25" t="s">
        <v>69</v>
      </c>
      <c r="J21" s="25">
        <v>43286</v>
      </c>
      <c r="K21" s="25" t="s">
        <v>328</v>
      </c>
      <c r="L21" s="25">
        <v>43291</v>
      </c>
      <c r="M21" s="25">
        <v>2018</v>
      </c>
      <c r="N21" s="25">
        <v>191</v>
      </c>
      <c r="O21" s="25">
        <v>43398</v>
      </c>
      <c r="P21" s="25">
        <v>2018</v>
      </c>
      <c r="Q21" s="25">
        <v>191</v>
      </c>
      <c r="R21" s="25">
        <v>132</v>
      </c>
      <c r="S21" s="25">
        <v>73</v>
      </c>
      <c r="T21" s="25">
        <v>73</v>
      </c>
      <c r="U21" s="25">
        <v>0</v>
      </c>
      <c r="V21" s="25" t="s">
        <v>22</v>
      </c>
      <c r="W21" s="25" t="s">
        <v>261</v>
      </c>
      <c r="X21" s="25">
        <v>2.6164383561643834</v>
      </c>
    </row>
    <row r="22" spans="1:24">
      <c r="A22" s="25" t="s">
        <v>329</v>
      </c>
      <c r="B22" s="25" t="s">
        <v>330</v>
      </c>
      <c r="C22" s="25" t="s">
        <v>20</v>
      </c>
      <c r="D22" s="25" t="s">
        <v>21</v>
      </c>
      <c r="E22" s="25" t="s">
        <v>268</v>
      </c>
      <c r="F22" s="25" t="s">
        <v>23</v>
      </c>
      <c r="G22" s="25" t="s">
        <v>269</v>
      </c>
      <c r="H22" s="25" t="s">
        <v>69</v>
      </c>
      <c r="I22" s="25" t="s">
        <v>69</v>
      </c>
      <c r="J22" s="25">
        <v>43273</v>
      </c>
      <c r="K22" s="25" t="s">
        <v>331</v>
      </c>
      <c r="L22" s="25">
        <v>43279</v>
      </c>
      <c r="M22" s="25">
        <v>2018</v>
      </c>
      <c r="N22" s="25">
        <v>231</v>
      </c>
      <c r="O22" s="25">
        <v>43320</v>
      </c>
      <c r="P22" s="25">
        <v>2018</v>
      </c>
      <c r="Q22" s="25">
        <v>231</v>
      </c>
      <c r="R22" s="25">
        <v>104</v>
      </c>
      <c r="S22" s="25">
        <v>28</v>
      </c>
      <c r="T22" s="25">
        <v>28</v>
      </c>
      <c r="U22" s="25">
        <v>0</v>
      </c>
      <c r="V22" s="25" t="s">
        <v>22</v>
      </c>
      <c r="W22" s="25" t="s">
        <v>261</v>
      </c>
      <c r="X22" s="25">
        <v>8.25</v>
      </c>
    </row>
    <row r="23" spans="1:24">
      <c r="A23" s="25" t="s">
        <v>332</v>
      </c>
      <c r="B23" s="25" t="s">
        <v>333</v>
      </c>
      <c r="C23" s="25" t="s">
        <v>20</v>
      </c>
      <c r="D23" s="25" t="s">
        <v>21</v>
      </c>
      <c r="E23" s="25" t="s">
        <v>268</v>
      </c>
      <c r="F23" s="25" t="s">
        <v>23</v>
      </c>
      <c r="G23" s="25" t="s">
        <v>273</v>
      </c>
      <c r="H23" s="25" t="s">
        <v>69</v>
      </c>
      <c r="I23" s="25" t="s">
        <v>69</v>
      </c>
      <c r="J23" s="25">
        <v>43299</v>
      </c>
      <c r="K23" s="25" t="s">
        <v>334</v>
      </c>
      <c r="L23" s="25">
        <v>43307</v>
      </c>
      <c r="M23" s="25">
        <v>2018</v>
      </c>
      <c r="N23" s="25">
        <v>247</v>
      </c>
      <c r="O23" s="25">
        <v>43397</v>
      </c>
      <c r="P23" s="25">
        <v>2018</v>
      </c>
      <c r="Q23" s="25">
        <v>247</v>
      </c>
      <c r="R23" s="25">
        <v>128</v>
      </c>
      <c r="S23" s="25">
        <v>60</v>
      </c>
      <c r="T23" s="25">
        <v>60</v>
      </c>
      <c r="U23" s="25">
        <v>0</v>
      </c>
      <c r="V23" s="25" t="s">
        <v>22</v>
      </c>
      <c r="W23" s="25" t="s">
        <v>261</v>
      </c>
      <c r="X23" s="25">
        <v>4.1166666666666663</v>
      </c>
    </row>
    <row r="24" spans="1:24">
      <c r="A24" s="25" t="s">
        <v>335</v>
      </c>
      <c r="B24" s="25" t="s">
        <v>336</v>
      </c>
      <c r="C24" s="25" t="s">
        <v>20</v>
      </c>
      <c r="D24" s="25" t="s">
        <v>21</v>
      </c>
      <c r="E24" s="25" t="s">
        <v>268</v>
      </c>
      <c r="F24" s="25" t="s">
        <v>23</v>
      </c>
      <c r="G24" s="25" t="s">
        <v>273</v>
      </c>
      <c r="H24" s="25" t="s">
        <v>69</v>
      </c>
      <c r="I24" s="25" t="s">
        <v>69</v>
      </c>
      <c r="J24" s="25">
        <v>43252</v>
      </c>
      <c r="K24" s="25" t="s">
        <v>337</v>
      </c>
      <c r="L24" s="25">
        <v>43262</v>
      </c>
      <c r="M24" s="25">
        <v>2018</v>
      </c>
      <c r="N24" s="25">
        <v>189</v>
      </c>
      <c r="O24" s="25">
        <v>43321</v>
      </c>
      <c r="P24" s="25">
        <v>2018</v>
      </c>
      <c r="Q24" s="25">
        <v>189</v>
      </c>
      <c r="R24" s="25">
        <v>111</v>
      </c>
      <c r="S24" s="25">
        <v>42</v>
      </c>
      <c r="T24" s="25">
        <v>42</v>
      </c>
      <c r="U24" s="25">
        <v>0</v>
      </c>
      <c r="V24" s="25" t="s">
        <v>22</v>
      </c>
      <c r="W24" s="25" t="s">
        <v>261</v>
      </c>
      <c r="X24" s="25">
        <v>4.5</v>
      </c>
    </row>
    <row r="25" spans="1:24">
      <c r="A25" s="25" t="s">
        <v>338</v>
      </c>
      <c r="B25" s="25" t="s">
        <v>339</v>
      </c>
      <c r="C25" s="25" t="s">
        <v>20</v>
      </c>
      <c r="D25" s="25" t="s">
        <v>21</v>
      </c>
      <c r="E25" s="25" t="s">
        <v>268</v>
      </c>
      <c r="F25" s="25" t="s">
        <v>23</v>
      </c>
      <c r="G25" s="25" t="s">
        <v>269</v>
      </c>
      <c r="H25" s="25" t="s">
        <v>69</v>
      </c>
      <c r="I25" s="25" t="s">
        <v>69</v>
      </c>
      <c r="J25" s="25">
        <v>43315</v>
      </c>
      <c r="K25" s="25" t="s">
        <v>340</v>
      </c>
      <c r="L25" s="25">
        <v>43319</v>
      </c>
      <c r="M25" s="25">
        <v>2018</v>
      </c>
      <c r="N25" s="25">
        <v>46</v>
      </c>
      <c r="O25" s="25">
        <v>43392</v>
      </c>
      <c r="P25" s="25">
        <v>2018</v>
      </c>
      <c r="Q25" s="25">
        <v>46</v>
      </c>
      <c r="R25" s="25">
        <v>19</v>
      </c>
      <c r="S25" s="25">
        <v>50</v>
      </c>
      <c r="T25" s="25">
        <v>50</v>
      </c>
      <c r="U25" s="25">
        <v>0</v>
      </c>
      <c r="V25" s="25" t="s">
        <v>22</v>
      </c>
      <c r="W25" s="25" t="s">
        <v>261</v>
      </c>
      <c r="X25" s="25">
        <v>0.92</v>
      </c>
    </row>
    <row r="26" spans="1:24">
      <c r="A26" s="25" t="s">
        <v>341</v>
      </c>
      <c r="B26" s="25" t="s">
        <v>342</v>
      </c>
      <c r="C26" s="25" t="s">
        <v>20</v>
      </c>
      <c r="D26" s="25" t="s">
        <v>21</v>
      </c>
      <c r="E26" s="25" t="s">
        <v>268</v>
      </c>
      <c r="F26" s="25" t="s">
        <v>23</v>
      </c>
      <c r="G26" s="25" t="s">
        <v>273</v>
      </c>
      <c r="H26" s="25" t="s">
        <v>69</v>
      </c>
      <c r="I26" s="25" t="s">
        <v>69</v>
      </c>
      <c r="J26" s="25">
        <v>43371</v>
      </c>
      <c r="K26" s="25" t="s">
        <v>343</v>
      </c>
      <c r="L26" s="25">
        <v>43375</v>
      </c>
      <c r="M26" s="25">
        <v>2018</v>
      </c>
      <c r="N26" s="25">
        <v>226</v>
      </c>
      <c r="O26" s="25">
        <v>43556</v>
      </c>
      <c r="P26" s="25">
        <v>2019</v>
      </c>
      <c r="Q26" s="25">
        <v>226</v>
      </c>
      <c r="R26" s="25">
        <v>137</v>
      </c>
      <c r="S26" s="25">
        <v>124</v>
      </c>
      <c r="T26" s="25">
        <v>124</v>
      </c>
      <c r="U26" s="25">
        <v>0</v>
      </c>
      <c r="V26" s="25" t="s">
        <v>22</v>
      </c>
      <c r="W26" s="25" t="s">
        <v>261</v>
      </c>
      <c r="X26" s="25">
        <v>1.8225806451612903</v>
      </c>
    </row>
    <row r="27" spans="1:24">
      <c r="A27" s="25" t="s">
        <v>344</v>
      </c>
      <c r="B27" s="25" t="s">
        <v>345</v>
      </c>
      <c r="C27" s="25" t="s">
        <v>20</v>
      </c>
      <c r="D27" s="25" t="s">
        <v>21</v>
      </c>
      <c r="E27" s="25" t="s">
        <v>268</v>
      </c>
      <c r="F27" s="25" t="s">
        <v>23</v>
      </c>
      <c r="G27" s="25" t="s">
        <v>273</v>
      </c>
      <c r="H27" s="25" t="s">
        <v>346</v>
      </c>
      <c r="I27" s="25" t="s">
        <v>69</v>
      </c>
      <c r="J27" s="25">
        <v>43368</v>
      </c>
      <c r="K27" s="25" t="s">
        <v>347</v>
      </c>
      <c r="L27" s="25">
        <v>43374</v>
      </c>
      <c r="M27" s="25">
        <v>2018</v>
      </c>
      <c r="N27" s="25">
        <v>209</v>
      </c>
      <c r="O27" s="25">
        <v>43598</v>
      </c>
      <c r="P27" s="25">
        <v>2019</v>
      </c>
      <c r="Q27" s="25">
        <v>209</v>
      </c>
      <c r="R27" s="25">
        <v>135</v>
      </c>
      <c r="S27" s="25">
        <v>152</v>
      </c>
      <c r="T27" s="25">
        <v>152</v>
      </c>
      <c r="U27" s="25">
        <v>0</v>
      </c>
      <c r="V27" s="25" t="s">
        <v>22</v>
      </c>
      <c r="W27" s="25" t="s">
        <v>262</v>
      </c>
      <c r="X27" s="25">
        <v>1.375</v>
      </c>
    </row>
    <row r="28" spans="1:24">
      <c r="A28" s="25" t="s">
        <v>348</v>
      </c>
      <c r="B28" s="25" t="s">
        <v>349</v>
      </c>
      <c r="C28" s="25" t="s">
        <v>20</v>
      </c>
      <c r="D28" s="25" t="s">
        <v>21</v>
      </c>
      <c r="E28" s="25" t="s">
        <v>268</v>
      </c>
      <c r="F28" s="25" t="s">
        <v>23</v>
      </c>
      <c r="G28" s="25" t="s">
        <v>273</v>
      </c>
      <c r="H28" s="25" t="s">
        <v>148</v>
      </c>
      <c r="I28" s="25" t="s">
        <v>148</v>
      </c>
      <c r="J28" s="25">
        <v>43395</v>
      </c>
      <c r="K28" s="25" t="s">
        <v>350</v>
      </c>
      <c r="L28" s="25">
        <v>43395</v>
      </c>
      <c r="M28" s="25">
        <v>2018</v>
      </c>
      <c r="N28" s="25">
        <v>195</v>
      </c>
      <c r="O28" s="25">
        <v>44132</v>
      </c>
      <c r="P28" s="25">
        <v>2020</v>
      </c>
      <c r="Q28" s="25">
        <v>195</v>
      </c>
      <c r="R28" s="25">
        <v>72</v>
      </c>
      <c r="S28" s="25">
        <v>447</v>
      </c>
      <c r="T28" s="25">
        <v>447</v>
      </c>
      <c r="U28" s="25">
        <v>0</v>
      </c>
      <c r="V28" s="25" t="s">
        <v>22</v>
      </c>
      <c r="W28" s="25" t="s">
        <v>260</v>
      </c>
      <c r="X28" s="25">
        <v>0.43624161073825501</v>
      </c>
    </row>
    <row r="29" spans="1:24">
      <c r="A29" s="25" t="s">
        <v>351</v>
      </c>
      <c r="B29" s="25" t="s">
        <v>352</v>
      </c>
      <c r="C29" s="25" t="s">
        <v>20</v>
      </c>
      <c r="D29" s="25" t="s">
        <v>21</v>
      </c>
      <c r="E29" s="25" t="s">
        <v>268</v>
      </c>
      <c r="F29" s="25" t="s">
        <v>23</v>
      </c>
      <c r="G29" s="25" t="s">
        <v>273</v>
      </c>
      <c r="H29" s="25" t="s">
        <v>159</v>
      </c>
      <c r="I29" s="25" t="s">
        <v>159</v>
      </c>
      <c r="J29" s="25">
        <v>43334</v>
      </c>
      <c r="K29" s="25" t="s">
        <v>353</v>
      </c>
      <c r="L29" s="25">
        <v>43334</v>
      </c>
      <c r="M29" s="25">
        <v>2018</v>
      </c>
      <c r="N29" s="25">
        <v>169</v>
      </c>
      <c r="O29" s="25">
        <v>43455</v>
      </c>
      <c r="P29" s="25">
        <v>2018</v>
      </c>
      <c r="Q29" s="25">
        <v>169</v>
      </c>
      <c r="R29" s="25">
        <v>101</v>
      </c>
      <c r="S29" s="25">
        <v>82</v>
      </c>
      <c r="T29" s="25">
        <v>82</v>
      </c>
      <c r="U29" s="25">
        <v>0</v>
      </c>
      <c r="V29" s="25" t="s">
        <v>22</v>
      </c>
      <c r="W29" s="25" t="s">
        <v>261</v>
      </c>
      <c r="X29" s="25">
        <v>2.0609756097560976</v>
      </c>
    </row>
    <row r="30" spans="1:24">
      <c r="A30" s="25" t="s">
        <v>354</v>
      </c>
      <c r="B30" s="25" t="s">
        <v>355</v>
      </c>
      <c r="C30" s="25" t="s">
        <v>20</v>
      </c>
      <c r="D30" s="25" t="s">
        <v>21</v>
      </c>
      <c r="E30" s="25" t="s">
        <v>268</v>
      </c>
      <c r="F30" s="25" t="s">
        <v>23</v>
      </c>
      <c r="G30" s="25" t="s">
        <v>269</v>
      </c>
      <c r="H30" s="25" t="s">
        <v>148</v>
      </c>
      <c r="I30" s="25" t="s">
        <v>148</v>
      </c>
      <c r="J30" s="25">
        <v>43171</v>
      </c>
      <c r="K30" s="25" t="s">
        <v>356</v>
      </c>
      <c r="L30" s="25">
        <v>43171</v>
      </c>
      <c r="M30" s="25">
        <v>2018</v>
      </c>
      <c r="N30" s="25">
        <v>61</v>
      </c>
      <c r="O30" s="25">
        <v>43320</v>
      </c>
      <c r="P30" s="25">
        <v>2018</v>
      </c>
      <c r="Q30" s="25">
        <v>61</v>
      </c>
      <c r="R30" s="25">
        <v>58</v>
      </c>
      <c r="S30" s="25">
        <v>102</v>
      </c>
      <c r="T30" s="25">
        <v>102</v>
      </c>
      <c r="U30" s="25">
        <v>0</v>
      </c>
      <c r="V30" s="25" t="s">
        <v>22</v>
      </c>
      <c r="W30" s="25" t="s">
        <v>260</v>
      </c>
      <c r="X30" s="25">
        <v>0.59803921568627449</v>
      </c>
    </row>
    <row r="31" spans="1:24">
      <c r="A31" s="25" t="s">
        <v>348</v>
      </c>
      <c r="B31" s="25" t="s">
        <v>355</v>
      </c>
      <c r="C31" s="25" t="s">
        <v>20</v>
      </c>
      <c r="D31" s="25" t="s">
        <v>21</v>
      </c>
      <c r="E31" s="25" t="s">
        <v>268</v>
      </c>
      <c r="F31" s="25" t="s">
        <v>23</v>
      </c>
      <c r="G31" s="25" t="s">
        <v>269</v>
      </c>
      <c r="H31" s="25" t="s">
        <v>148</v>
      </c>
      <c r="I31" s="25" t="s">
        <v>148</v>
      </c>
      <c r="J31" s="25">
        <v>43171</v>
      </c>
      <c r="K31" s="25" t="s">
        <v>357</v>
      </c>
      <c r="L31" s="25">
        <v>43171</v>
      </c>
      <c r="M31" s="25">
        <v>2018</v>
      </c>
      <c r="N31" s="25">
        <v>8</v>
      </c>
      <c r="O31" s="25">
        <v>43320</v>
      </c>
      <c r="P31" s="25">
        <v>2018</v>
      </c>
      <c r="Q31" s="25">
        <v>8</v>
      </c>
      <c r="R31" s="25">
        <v>2</v>
      </c>
      <c r="S31" s="25">
        <v>102</v>
      </c>
      <c r="T31" s="25">
        <v>102</v>
      </c>
      <c r="U31" s="25">
        <v>0</v>
      </c>
      <c r="V31" s="25" t="s">
        <v>22</v>
      </c>
      <c r="W31" s="25" t="s">
        <v>260</v>
      </c>
      <c r="X31" s="25">
        <v>7.8431372549019607E-2</v>
      </c>
    </row>
    <row r="32" spans="1:24">
      <c r="A32" s="25" t="s">
        <v>358</v>
      </c>
      <c r="B32" s="25" t="s">
        <v>359</v>
      </c>
      <c r="C32" s="25" t="s">
        <v>20</v>
      </c>
      <c r="D32" s="25" t="s">
        <v>21</v>
      </c>
      <c r="E32" s="25" t="s">
        <v>268</v>
      </c>
      <c r="F32" s="25" t="s">
        <v>23</v>
      </c>
      <c r="G32" s="25" t="s">
        <v>273</v>
      </c>
      <c r="H32" s="25" t="s">
        <v>173</v>
      </c>
      <c r="I32" s="25" t="s">
        <v>173</v>
      </c>
      <c r="J32" s="25">
        <v>43483</v>
      </c>
      <c r="K32" s="25" t="s">
        <v>360</v>
      </c>
      <c r="L32" s="25">
        <v>43484</v>
      </c>
      <c r="M32" s="25">
        <v>2019</v>
      </c>
      <c r="N32" s="25">
        <v>235</v>
      </c>
      <c r="O32" s="25">
        <v>44180</v>
      </c>
      <c r="P32" s="25">
        <v>2020</v>
      </c>
      <c r="Q32" s="25">
        <v>235</v>
      </c>
      <c r="R32" s="25">
        <v>121</v>
      </c>
      <c r="S32" s="25">
        <v>420</v>
      </c>
      <c r="T32" s="25">
        <v>420</v>
      </c>
      <c r="U32" s="25">
        <v>0</v>
      </c>
      <c r="V32" s="25" t="s">
        <v>22</v>
      </c>
      <c r="W32" s="25" t="s">
        <v>263</v>
      </c>
      <c r="X32" s="25">
        <v>0.55952380952380953</v>
      </c>
    </row>
    <row r="33" spans="1:24">
      <c r="A33" s="25" t="s">
        <v>361</v>
      </c>
      <c r="B33" s="25" t="s">
        <v>362</v>
      </c>
      <c r="C33" s="25" t="s">
        <v>20</v>
      </c>
      <c r="D33" s="25" t="s">
        <v>21</v>
      </c>
      <c r="E33" s="25" t="s">
        <v>268</v>
      </c>
      <c r="F33" s="25" t="s">
        <v>23</v>
      </c>
      <c r="G33" s="25" t="s">
        <v>273</v>
      </c>
      <c r="H33" s="25" t="s">
        <v>173</v>
      </c>
      <c r="I33" s="25" t="s">
        <v>173</v>
      </c>
      <c r="J33" s="25">
        <v>43483</v>
      </c>
      <c r="K33" s="25" t="s">
        <v>363</v>
      </c>
      <c r="L33" s="25">
        <v>43487</v>
      </c>
      <c r="M33" s="25">
        <v>2019</v>
      </c>
      <c r="N33" s="25">
        <v>244</v>
      </c>
      <c r="O33" s="25">
        <v>43605</v>
      </c>
      <c r="P33" s="25">
        <v>2019</v>
      </c>
      <c r="Q33" s="25">
        <v>244</v>
      </c>
      <c r="R33" s="25">
        <v>113</v>
      </c>
      <c r="S33" s="25">
        <v>82</v>
      </c>
      <c r="T33" s="25">
        <v>82</v>
      </c>
      <c r="U33" s="25">
        <v>0</v>
      </c>
      <c r="V33" s="25" t="s">
        <v>22</v>
      </c>
      <c r="W33" s="25" t="s">
        <v>263</v>
      </c>
      <c r="X33" s="25">
        <v>2.975609756097561</v>
      </c>
    </row>
    <row r="34" spans="1:24">
      <c r="A34" s="25" t="s">
        <v>364</v>
      </c>
      <c r="B34" s="25" t="s">
        <v>365</v>
      </c>
      <c r="C34" s="25" t="s">
        <v>20</v>
      </c>
      <c r="D34" s="25" t="s">
        <v>21</v>
      </c>
      <c r="E34" s="25" t="s">
        <v>268</v>
      </c>
      <c r="F34" s="25" t="s">
        <v>23</v>
      </c>
      <c r="G34" s="25" t="s">
        <v>273</v>
      </c>
      <c r="H34" s="25" t="s">
        <v>173</v>
      </c>
      <c r="I34" s="25" t="s">
        <v>173</v>
      </c>
      <c r="J34" s="25">
        <v>43483</v>
      </c>
      <c r="K34" s="25" t="s">
        <v>366</v>
      </c>
      <c r="L34" s="25">
        <v>43483</v>
      </c>
      <c r="M34" s="25">
        <v>2019</v>
      </c>
      <c r="N34" s="25">
        <v>257</v>
      </c>
      <c r="O34" s="25">
        <v>43726</v>
      </c>
      <c r="P34" s="25">
        <v>2019</v>
      </c>
      <c r="Q34" s="25">
        <v>257</v>
      </c>
      <c r="R34" s="25">
        <v>170</v>
      </c>
      <c r="S34" s="25">
        <v>167</v>
      </c>
      <c r="T34" s="25">
        <v>167</v>
      </c>
      <c r="U34" s="25">
        <v>0</v>
      </c>
      <c r="V34" s="25" t="s">
        <v>22</v>
      </c>
      <c r="W34" s="25" t="s">
        <v>263</v>
      </c>
      <c r="X34" s="25">
        <v>1.5389221556886228</v>
      </c>
    </row>
    <row r="35" spans="1:24">
      <c r="A35" s="25" t="s">
        <v>367</v>
      </c>
      <c r="B35" s="25" t="s">
        <v>368</v>
      </c>
      <c r="C35" s="25" t="s">
        <v>20</v>
      </c>
      <c r="D35" s="25" t="s">
        <v>21</v>
      </c>
      <c r="E35" s="25" t="s">
        <v>268</v>
      </c>
      <c r="F35" s="25" t="s">
        <v>23</v>
      </c>
      <c r="G35" s="25" t="s">
        <v>273</v>
      </c>
      <c r="H35" s="25" t="s">
        <v>173</v>
      </c>
      <c r="I35" s="25" t="s">
        <v>173</v>
      </c>
      <c r="J35" s="25">
        <v>43518</v>
      </c>
      <c r="K35" s="25" t="s">
        <v>369</v>
      </c>
      <c r="L35" s="25">
        <v>43523</v>
      </c>
      <c r="M35" s="25">
        <v>2019</v>
      </c>
      <c r="N35" s="25">
        <v>41</v>
      </c>
      <c r="O35" s="25">
        <v>43585</v>
      </c>
      <c r="P35" s="25">
        <v>2019</v>
      </c>
      <c r="Q35" s="25">
        <v>41</v>
      </c>
      <c r="R35" s="25">
        <v>41</v>
      </c>
      <c r="S35" s="25">
        <v>43</v>
      </c>
      <c r="T35" s="25">
        <v>43</v>
      </c>
      <c r="U35" s="25">
        <v>0</v>
      </c>
      <c r="V35" s="25" t="s">
        <v>22</v>
      </c>
      <c r="W35" s="25" t="s">
        <v>263</v>
      </c>
      <c r="X35" s="25">
        <v>0.95348837209302328</v>
      </c>
    </row>
    <row r="36" spans="1:24">
      <c r="A36" s="25" t="s">
        <v>370</v>
      </c>
      <c r="B36" s="25" t="s">
        <v>371</v>
      </c>
      <c r="C36" s="25" t="s">
        <v>20</v>
      </c>
      <c r="D36" s="25" t="s">
        <v>21</v>
      </c>
      <c r="E36" s="25" t="s">
        <v>268</v>
      </c>
      <c r="F36" s="25" t="s">
        <v>23</v>
      </c>
      <c r="G36" s="25" t="s">
        <v>273</v>
      </c>
      <c r="H36" s="25" t="s">
        <v>173</v>
      </c>
      <c r="I36" s="25" t="s">
        <v>173</v>
      </c>
      <c r="J36" s="25">
        <v>43518</v>
      </c>
      <c r="K36" s="25" t="s">
        <v>372</v>
      </c>
      <c r="L36" s="25">
        <v>43521</v>
      </c>
      <c r="M36" s="25">
        <v>2019</v>
      </c>
      <c r="N36" s="25">
        <v>185</v>
      </c>
      <c r="O36" s="25">
        <v>43600</v>
      </c>
      <c r="P36" s="25">
        <v>2019</v>
      </c>
      <c r="Q36" s="25">
        <v>185</v>
      </c>
      <c r="R36" s="25">
        <v>100</v>
      </c>
      <c r="S36" s="25">
        <v>55</v>
      </c>
      <c r="T36" s="25">
        <v>55</v>
      </c>
      <c r="U36" s="25">
        <v>0</v>
      </c>
      <c r="V36" s="25" t="s">
        <v>22</v>
      </c>
      <c r="W36" s="25" t="s">
        <v>263</v>
      </c>
      <c r="X36" s="25">
        <v>3.3636363636363638</v>
      </c>
    </row>
    <row r="37" spans="1:24">
      <c r="A37" s="25" t="s">
        <v>373</v>
      </c>
      <c r="B37" s="25" t="s">
        <v>374</v>
      </c>
      <c r="C37" s="25" t="s">
        <v>20</v>
      </c>
      <c r="D37" s="25" t="s">
        <v>21</v>
      </c>
      <c r="E37" s="25" t="s">
        <v>268</v>
      </c>
      <c r="F37" s="25" t="s">
        <v>23</v>
      </c>
      <c r="G37" s="25" t="s">
        <v>273</v>
      </c>
      <c r="H37" s="25" t="s">
        <v>173</v>
      </c>
      <c r="I37" s="25" t="s">
        <v>173</v>
      </c>
      <c r="J37" s="25">
        <v>43503</v>
      </c>
      <c r="K37" s="25" t="s">
        <v>375</v>
      </c>
      <c r="L37" s="25">
        <v>43521</v>
      </c>
      <c r="M37" s="25">
        <v>2019</v>
      </c>
      <c r="N37" s="25">
        <v>200</v>
      </c>
      <c r="O37" s="25">
        <v>43612</v>
      </c>
      <c r="P37" s="25">
        <v>2019</v>
      </c>
      <c r="Q37" s="25">
        <v>200</v>
      </c>
      <c r="R37" s="25">
        <v>126</v>
      </c>
      <c r="S37" s="25">
        <v>63</v>
      </c>
      <c r="T37" s="25">
        <v>63</v>
      </c>
      <c r="U37" s="25">
        <v>0</v>
      </c>
      <c r="V37" s="25" t="s">
        <v>22</v>
      </c>
      <c r="W37" s="25" t="s">
        <v>263</v>
      </c>
      <c r="X37" s="25">
        <v>3.1746031746031744</v>
      </c>
    </row>
    <row r="38" spans="1:24">
      <c r="A38" s="25" t="s">
        <v>376</v>
      </c>
      <c r="B38" s="25" t="s">
        <v>377</v>
      </c>
      <c r="C38" s="25" t="s">
        <v>20</v>
      </c>
      <c r="D38" s="25" t="s">
        <v>21</v>
      </c>
      <c r="E38" s="25" t="s">
        <v>268</v>
      </c>
      <c r="F38" s="25" t="s">
        <v>23</v>
      </c>
      <c r="G38" s="25" t="s">
        <v>273</v>
      </c>
      <c r="H38" s="25" t="s">
        <v>173</v>
      </c>
      <c r="I38" s="25" t="s">
        <v>173</v>
      </c>
      <c r="J38" s="25">
        <v>43521</v>
      </c>
      <c r="K38" s="25" t="s">
        <v>378</v>
      </c>
      <c r="L38" s="25">
        <v>43587</v>
      </c>
      <c r="M38" s="25">
        <v>2019</v>
      </c>
      <c r="N38" s="25">
        <v>34</v>
      </c>
      <c r="O38" s="25">
        <v>43679</v>
      </c>
      <c r="P38" s="25">
        <v>2019</v>
      </c>
      <c r="Q38" s="25">
        <v>34</v>
      </c>
      <c r="R38" s="25">
        <v>10</v>
      </c>
      <c r="S38" s="25">
        <v>65</v>
      </c>
      <c r="T38" s="25">
        <v>65</v>
      </c>
      <c r="U38" s="25">
        <v>0</v>
      </c>
      <c r="V38" s="25" t="s">
        <v>22</v>
      </c>
      <c r="W38" s="25" t="s">
        <v>263</v>
      </c>
      <c r="X38" s="25">
        <v>0.52307692307692311</v>
      </c>
    </row>
    <row r="39" spans="1:24">
      <c r="A39" s="25" t="s">
        <v>379</v>
      </c>
      <c r="B39" s="25" t="s">
        <v>380</v>
      </c>
      <c r="C39" s="25" t="s">
        <v>20</v>
      </c>
      <c r="D39" s="25" t="s">
        <v>21</v>
      </c>
      <c r="E39" s="25" t="s">
        <v>268</v>
      </c>
      <c r="F39" s="25" t="s">
        <v>23</v>
      </c>
      <c r="G39" s="25" t="s">
        <v>273</v>
      </c>
      <c r="H39" s="25" t="s">
        <v>173</v>
      </c>
      <c r="I39" s="25" t="s">
        <v>173</v>
      </c>
      <c r="J39" s="25">
        <v>43522</v>
      </c>
      <c r="K39" s="25" t="s">
        <v>381</v>
      </c>
      <c r="L39" s="25">
        <v>43553</v>
      </c>
      <c r="M39" s="25">
        <v>2019</v>
      </c>
      <c r="N39" s="25">
        <v>88</v>
      </c>
      <c r="O39" s="25">
        <v>43726</v>
      </c>
      <c r="P39" s="25">
        <v>2019</v>
      </c>
      <c r="Q39" s="25">
        <v>88</v>
      </c>
      <c r="R39" s="25">
        <v>59</v>
      </c>
      <c r="S39" s="25">
        <v>117</v>
      </c>
      <c r="T39" s="25">
        <v>117</v>
      </c>
      <c r="U39" s="25">
        <v>0</v>
      </c>
      <c r="V39" s="25" t="s">
        <v>22</v>
      </c>
      <c r="W39" s="25" t="s">
        <v>263</v>
      </c>
      <c r="X39" s="25">
        <v>0.75213675213675213</v>
      </c>
    </row>
    <row r="40" spans="1:24">
      <c r="A40" s="25" t="s">
        <v>382</v>
      </c>
      <c r="B40" s="25" t="s">
        <v>383</v>
      </c>
      <c r="C40" s="25" t="s">
        <v>20</v>
      </c>
      <c r="D40" s="25" t="s">
        <v>21</v>
      </c>
      <c r="E40" s="25" t="s">
        <v>268</v>
      </c>
      <c r="F40" s="25" t="s">
        <v>23</v>
      </c>
      <c r="G40" s="25" t="s">
        <v>273</v>
      </c>
      <c r="H40" s="25" t="s">
        <v>173</v>
      </c>
      <c r="I40" s="25" t="s">
        <v>173</v>
      </c>
      <c r="J40" s="25">
        <v>43524</v>
      </c>
      <c r="K40" s="25" t="s">
        <v>384</v>
      </c>
      <c r="L40" s="25">
        <v>43529</v>
      </c>
      <c r="M40" s="25">
        <v>2019</v>
      </c>
      <c r="N40" s="25">
        <v>240</v>
      </c>
      <c r="O40" s="25">
        <v>43605</v>
      </c>
      <c r="P40" s="25">
        <v>2019</v>
      </c>
      <c r="Q40" s="25">
        <v>240</v>
      </c>
      <c r="R40" s="25">
        <v>114</v>
      </c>
      <c r="S40" s="25">
        <v>52</v>
      </c>
      <c r="T40" s="25">
        <v>52</v>
      </c>
      <c r="U40" s="25">
        <v>0</v>
      </c>
      <c r="V40" s="25" t="s">
        <v>22</v>
      </c>
      <c r="W40" s="25" t="s">
        <v>263</v>
      </c>
      <c r="X40" s="25">
        <v>4.615384615384615</v>
      </c>
    </row>
    <row r="41" spans="1:24">
      <c r="A41" s="25" t="s">
        <v>385</v>
      </c>
      <c r="B41" s="25" t="s">
        <v>386</v>
      </c>
      <c r="C41" s="25" t="s">
        <v>20</v>
      </c>
      <c r="D41" s="25" t="s">
        <v>21</v>
      </c>
      <c r="E41" s="25" t="s">
        <v>268</v>
      </c>
      <c r="F41" s="25" t="s">
        <v>23</v>
      </c>
      <c r="G41" s="25" t="s">
        <v>273</v>
      </c>
      <c r="H41" s="25" t="s">
        <v>173</v>
      </c>
      <c r="I41" s="25" t="s">
        <v>173</v>
      </c>
      <c r="J41" s="25">
        <v>43532</v>
      </c>
      <c r="K41" s="25" t="s">
        <v>387</v>
      </c>
      <c r="L41" s="25">
        <v>43537</v>
      </c>
      <c r="M41" s="25">
        <v>2019</v>
      </c>
      <c r="N41" s="25">
        <v>69</v>
      </c>
      <c r="O41" s="25">
        <v>43570</v>
      </c>
      <c r="P41" s="25">
        <v>2019</v>
      </c>
      <c r="Q41" s="25">
        <v>69</v>
      </c>
      <c r="R41" s="25">
        <v>54</v>
      </c>
      <c r="S41" s="25">
        <v>24</v>
      </c>
      <c r="T41" s="25">
        <v>24</v>
      </c>
      <c r="U41" s="25">
        <v>0</v>
      </c>
      <c r="V41" s="25" t="s">
        <v>22</v>
      </c>
      <c r="W41" s="25" t="s">
        <v>263</v>
      </c>
      <c r="X41" s="25">
        <v>2.875</v>
      </c>
    </row>
    <row r="42" spans="1:24">
      <c r="A42" s="25" t="s">
        <v>388</v>
      </c>
      <c r="B42" s="25" t="s">
        <v>389</v>
      </c>
      <c r="C42" s="25" t="s">
        <v>20</v>
      </c>
      <c r="D42" s="25" t="s">
        <v>21</v>
      </c>
      <c r="E42" s="25" t="s">
        <v>268</v>
      </c>
      <c r="F42" s="25" t="s">
        <v>23</v>
      </c>
      <c r="G42" s="25" t="s">
        <v>273</v>
      </c>
      <c r="H42" s="25" t="s">
        <v>173</v>
      </c>
      <c r="I42" s="25" t="s">
        <v>173</v>
      </c>
      <c r="J42" s="25">
        <v>43537</v>
      </c>
      <c r="K42" s="25" t="s">
        <v>390</v>
      </c>
      <c r="L42" s="25">
        <v>43543</v>
      </c>
      <c r="M42" s="25">
        <v>2019</v>
      </c>
      <c r="N42" s="25">
        <v>21</v>
      </c>
      <c r="O42" s="25">
        <v>43570</v>
      </c>
      <c r="P42" s="25">
        <v>2019</v>
      </c>
      <c r="Q42" s="25">
        <v>21</v>
      </c>
      <c r="R42" s="25">
        <v>18</v>
      </c>
      <c r="S42" s="25">
        <v>20</v>
      </c>
      <c r="T42" s="25">
        <v>20</v>
      </c>
      <c r="U42" s="25">
        <v>0</v>
      </c>
      <c r="V42" s="25" t="s">
        <v>22</v>
      </c>
      <c r="W42" s="25" t="s">
        <v>263</v>
      </c>
      <c r="X42" s="25">
        <v>1.05</v>
      </c>
    </row>
    <row r="43" spans="1:24">
      <c r="A43" s="25" t="s">
        <v>391</v>
      </c>
      <c r="B43" s="25" t="s">
        <v>392</v>
      </c>
      <c r="C43" s="25" t="s">
        <v>20</v>
      </c>
      <c r="D43" s="25" t="s">
        <v>21</v>
      </c>
      <c r="E43" s="25" t="s">
        <v>268</v>
      </c>
      <c r="F43" s="25" t="s">
        <v>23</v>
      </c>
      <c r="G43" s="25" t="s">
        <v>273</v>
      </c>
      <c r="H43" s="25" t="s">
        <v>173</v>
      </c>
      <c r="I43" s="25" t="s">
        <v>173</v>
      </c>
      <c r="J43" s="25">
        <v>43537</v>
      </c>
      <c r="K43" s="25" t="s">
        <v>393</v>
      </c>
      <c r="L43" s="25">
        <v>43543</v>
      </c>
      <c r="M43" s="25">
        <v>2019</v>
      </c>
      <c r="N43" s="25">
        <v>19</v>
      </c>
      <c r="O43" s="25">
        <v>43559</v>
      </c>
      <c r="P43" s="25">
        <v>2019</v>
      </c>
      <c r="Q43" s="25">
        <v>19</v>
      </c>
      <c r="R43" s="25">
        <v>16</v>
      </c>
      <c r="S43" s="25">
        <v>13</v>
      </c>
      <c r="T43" s="25">
        <v>13</v>
      </c>
      <c r="U43" s="25">
        <v>0</v>
      </c>
      <c r="V43" s="25" t="s">
        <v>22</v>
      </c>
      <c r="W43" s="25" t="s">
        <v>263</v>
      </c>
      <c r="X43" s="25">
        <v>1.4615384615384615</v>
      </c>
    </row>
    <row r="44" spans="1:24">
      <c r="A44" s="25" t="s">
        <v>394</v>
      </c>
      <c r="B44" s="25" t="s">
        <v>395</v>
      </c>
      <c r="C44" s="25" t="s">
        <v>20</v>
      </c>
      <c r="D44" s="25" t="s">
        <v>21</v>
      </c>
      <c r="E44" s="25" t="s">
        <v>268</v>
      </c>
      <c r="F44" s="25" t="s">
        <v>23</v>
      </c>
      <c r="G44" s="25" t="s">
        <v>269</v>
      </c>
      <c r="H44" s="25" t="s">
        <v>173</v>
      </c>
      <c r="I44" s="25" t="s">
        <v>173</v>
      </c>
      <c r="J44" s="25">
        <v>43537</v>
      </c>
      <c r="K44" s="25" t="s">
        <v>396</v>
      </c>
      <c r="L44" s="25">
        <v>43538</v>
      </c>
      <c r="M44" s="25">
        <v>2019</v>
      </c>
      <c r="N44" s="25">
        <v>20</v>
      </c>
      <c r="O44" s="25">
        <v>43615</v>
      </c>
      <c r="P44" s="25">
        <v>2019</v>
      </c>
      <c r="Q44" s="25">
        <v>20</v>
      </c>
      <c r="R44" s="25">
        <v>18</v>
      </c>
      <c r="S44" s="25">
        <v>53</v>
      </c>
      <c r="T44" s="25">
        <v>53</v>
      </c>
      <c r="U44" s="25">
        <v>0</v>
      </c>
      <c r="V44" s="25" t="s">
        <v>22</v>
      </c>
      <c r="W44" s="25" t="s">
        <v>263</v>
      </c>
      <c r="X44" s="25">
        <v>0.37735849056603776</v>
      </c>
    </row>
    <row r="45" spans="1:24">
      <c r="A45" s="25" t="s">
        <v>397</v>
      </c>
      <c r="B45" s="25" t="s">
        <v>398</v>
      </c>
      <c r="C45" s="25" t="s">
        <v>20</v>
      </c>
      <c r="D45" s="25" t="s">
        <v>21</v>
      </c>
      <c r="E45" s="25" t="s">
        <v>268</v>
      </c>
      <c r="F45" s="25" t="s">
        <v>23</v>
      </c>
      <c r="G45" s="25" t="s">
        <v>269</v>
      </c>
      <c r="H45" s="25" t="s">
        <v>173</v>
      </c>
      <c r="I45" s="25" t="s">
        <v>173</v>
      </c>
      <c r="J45" s="25">
        <v>43538</v>
      </c>
      <c r="K45" s="25" t="s">
        <v>399</v>
      </c>
      <c r="L45" s="25">
        <v>43545</v>
      </c>
      <c r="M45" s="25">
        <v>2019</v>
      </c>
      <c r="N45" s="25">
        <v>247</v>
      </c>
      <c r="O45" s="25">
        <v>43999</v>
      </c>
      <c r="P45" s="25">
        <v>2020</v>
      </c>
      <c r="Q45" s="25">
        <v>247</v>
      </c>
      <c r="R45" s="25">
        <v>179</v>
      </c>
      <c r="S45" s="25">
        <v>250</v>
      </c>
      <c r="T45" s="25">
        <v>250</v>
      </c>
      <c r="U45" s="25">
        <v>0</v>
      </c>
      <c r="V45" s="25" t="s">
        <v>22</v>
      </c>
      <c r="W45" s="25" t="s">
        <v>263</v>
      </c>
      <c r="X45" s="25">
        <v>0.98799999999999999</v>
      </c>
    </row>
    <row r="46" spans="1:24">
      <c r="A46" s="25" t="s">
        <v>400</v>
      </c>
      <c r="B46" s="25" t="s">
        <v>401</v>
      </c>
      <c r="C46" s="25" t="s">
        <v>20</v>
      </c>
      <c r="D46" s="25" t="s">
        <v>21</v>
      </c>
      <c r="E46" s="25" t="s">
        <v>268</v>
      </c>
      <c r="F46" s="25" t="s">
        <v>23</v>
      </c>
      <c r="G46" s="25" t="s">
        <v>273</v>
      </c>
      <c r="H46" s="25" t="s">
        <v>173</v>
      </c>
      <c r="I46" s="25" t="s">
        <v>173</v>
      </c>
      <c r="J46" s="25">
        <v>43538</v>
      </c>
      <c r="K46" s="25" t="s">
        <v>402</v>
      </c>
      <c r="L46" s="25">
        <v>43546</v>
      </c>
      <c r="M46" s="25">
        <v>2019</v>
      </c>
      <c r="N46" s="25">
        <v>168</v>
      </c>
      <c r="O46" s="25">
        <v>43607</v>
      </c>
      <c r="P46" s="25">
        <v>2019</v>
      </c>
      <c r="Q46" s="25">
        <v>168</v>
      </c>
      <c r="R46" s="25">
        <v>90</v>
      </c>
      <c r="S46" s="25">
        <v>41</v>
      </c>
      <c r="T46" s="25">
        <v>41</v>
      </c>
      <c r="U46" s="25">
        <v>0</v>
      </c>
      <c r="V46" s="25" t="s">
        <v>22</v>
      </c>
      <c r="W46" s="25" t="s">
        <v>263</v>
      </c>
      <c r="X46" s="25">
        <v>4.0975609756097562</v>
      </c>
    </row>
    <row r="47" spans="1:24">
      <c r="A47" s="25" t="s">
        <v>403</v>
      </c>
      <c r="B47" s="25" t="s">
        <v>404</v>
      </c>
      <c r="C47" s="25" t="s">
        <v>20</v>
      </c>
      <c r="D47" s="25" t="s">
        <v>21</v>
      </c>
      <c r="E47" s="25" t="s">
        <v>268</v>
      </c>
      <c r="F47" s="25" t="s">
        <v>23</v>
      </c>
      <c r="G47" s="25" t="s">
        <v>273</v>
      </c>
      <c r="H47" s="25" t="s">
        <v>173</v>
      </c>
      <c r="I47" s="25" t="s">
        <v>173</v>
      </c>
      <c r="J47" s="25">
        <v>43542</v>
      </c>
      <c r="K47" s="25" t="s">
        <v>405</v>
      </c>
      <c r="L47" s="25">
        <v>43550</v>
      </c>
      <c r="M47" s="25">
        <v>2019</v>
      </c>
      <c r="N47" s="25">
        <v>242</v>
      </c>
      <c r="O47" s="25">
        <v>43592</v>
      </c>
      <c r="P47" s="25">
        <v>2019</v>
      </c>
      <c r="Q47" s="25">
        <v>242</v>
      </c>
      <c r="R47" s="25">
        <v>139</v>
      </c>
      <c r="S47" s="25">
        <v>28</v>
      </c>
      <c r="T47" s="25">
        <v>28</v>
      </c>
      <c r="U47" s="25">
        <v>0</v>
      </c>
      <c r="V47" s="25" t="s">
        <v>22</v>
      </c>
      <c r="W47" s="25" t="s">
        <v>263</v>
      </c>
      <c r="X47" s="25">
        <v>8.6428571428571423</v>
      </c>
    </row>
    <row r="48" spans="1:24">
      <c r="A48" s="25" t="s">
        <v>406</v>
      </c>
      <c r="B48" s="25" t="s">
        <v>407</v>
      </c>
      <c r="C48" s="25" t="s">
        <v>20</v>
      </c>
      <c r="D48" s="25" t="s">
        <v>21</v>
      </c>
      <c r="E48" s="25" t="s">
        <v>268</v>
      </c>
      <c r="F48" s="25" t="s">
        <v>23</v>
      </c>
      <c r="G48" s="25" t="s">
        <v>273</v>
      </c>
      <c r="H48" s="25" t="s">
        <v>69</v>
      </c>
      <c r="I48" s="25" t="s">
        <v>69</v>
      </c>
      <c r="J48" s="25">
        <v>43552</v>
      </c>
      <c r="K48" s="25" t="s">
        <v>408</v>
      </c>
      <c r="L48" s="25">
        <v>43559</v>
      </c>
      <c r="M48" s="25">
        <v>2019</v>
      </c>
      <c r="N48" s="25">
        <v>152</v>
      </c>
      <c r="O48" s="25">
        <v>44117</v>
      </c>
      <c r="P48" s="25">
        <v>2020</v>
      </c>
      <c r="Q48" s="25">
        <v>152</v>
      </c>
      <c r="R48" s="25">
        <v>93</v>
      </c>
      <c r="S48" s="25">
        <v>323</v>
      </c>
      <c r="T48" s="25">
        <v>323</v>
      </c>
      <c r="U48" s="25">
        <v>0</v>
      </c>
      <c r="V48" s="25" t="s">
        <v>22</v>
      </c>
      <c r="W48" s="25" t="s">
        <v>261</v>
      </c>
      <c r="X48" s="25">
        <v>0.47058823529411764</v>
      </c>
    </row>
    <row r="49" spans="1:24">
      <c r="A49" s="25" t="s">
        <v>409</v>
      </c>
      <c r="B49" s="25" t="s">
        <v>410</v>
      </c>
      <c r="C49" s="25" t="s">
        <v>20</v>
      </c>
      <c r="D49" s="25" t="s">
        <v>21</v>
      </c>
      <c r="E49" s="25" t="s">
        <v>268</v>
      </c>
      <c r="F49" s="25" t="s">
        <v>23</v>
      </c>
      <c r="G49" s="25" t="s">
        <v>273</v>
      </c>
      <c r="H49" s="25" t="s">
        <v>173</v>
      </c>
      <c r="I49" s="25" t="s">
        <v>173</v>
      </c>
      <c r="J49" s="25">
        <v>43578</v>
      </c>
      <c r="K49" s="25" t="s">
        <v>411</v>
      </c>
      <c r="L49" s="25">
        <v>43588</v>
      </c>
      <c r="M49" s="25">
        <v>2019</v>
      </c>
      <c r="N49" s="25">
        <v>197</v>
      </c>
      <c r="O49" s="25">
        <v>43628</v>
      </c>
      <c r="P49" s="25">
        <v>2019</v>
      </c>
      <c r="Q49" s="25">
        <v>197</v>
      </c>
      <c r="R49" s="25">
        <v>100</v>
      </c>
      <c r="S49" s="25">
        <v>29</v>
      </c>
      <c r="T49" s="25">
        <v>29</v>
      </c>
      <c r="U49" s="25">
        <v>0</v>
      </c>
      <c r="V49" s="25" t="s">
        <v>22</v>
      </c>
      <c r="W49" s="25" t="s">
        <v>263</v>
      </c>
      <c r="X49" s="25">
        <v>6.7931034482758621</v>
      </c>
    </row>
    <row r="50" spans="1:24">
      <c r="A50" s="25" t="s">
        <v>412</v>
      </c>
      <c r="B50" s="25" t="s">
        <v>413</v>
      </c>
      <c r="C50" s="25" t="s">
        <v>20</v>
      </c>
      <c r="D50" s="25" t="s">
        <v>21</v>
      </c>
      <c r="E50" s="25" t="s">
        <v>268</v>
      </c>
      <c r="F50" s="25" t="s">
        <v>23</v>
      </c>
      <c r="G50" s="25" t="s">
        <v>414</v>
      </c>
      <c r="H50" s="25" t="s">
        <v>173</v>
      </c>
      <c r="I50" s="25" t="s">
        <v>173</v>
      </c>
      <c r="J50" s="25">
        <v>43578</v>
      </c>
      <c r="K50" s="25" t="s">
        <v>415</v>
      </c>
      <c r="L50" s="25">
        <v>43585</v>
      </c>
      <c r="M50" s="25">
        <v>2019</v>
      </c>
      <c r="N50" s="25">
        <v>715</v>
      </c>
      <c r="O50" s="25">
        <v>43727</v>
      </c>
      <c r="P50" s="25">
        <v>2019</v>
      </c>
      <c r="Q50" s="25">
        <v>715</v>
      </c>
      <c r="R50" s="25">
        <v>421</v>
      </c>
      <c r="S50" s="25">
        <v>98</v>
      </c>
      <c r="T50" s="25">
        <v>98</v>
      </c>
      <c r="U50" s="25">
        <v>0</v>
      </c>
      <c r="V50" s="25" t="s">
        <v>22</v>
      </c>
      <c r="W50" s="25" t="s">
        <v>263</v>
      </c>
      <c r="X50" s="25">
        <v>7.295918367346939</v>
      </c>
    </row>
    <row r="51" spans="1:24">
      <c r="A51" s="25" t="s">
        <v>416</v>
      </c>
      <c r="B51" s="25" t="s">
        <v>417</v>
      </c>
      <c r="C51" s="25" t="s">
        <v>20</v>
      </c>
      <c r="D51" s="25" t="s">
        <v>21</v>
      </c>
      <c r="E51" s="25" t="s">
        <v>268</v>
      </c>
      <c r="F51" s="25" t="s">
        <v>23</v>
      </c>
      <c r="G51" s="25" t="s">
        <v>273</v>
      </c>
      <c r="H51" s="25" t="s">
        <v>69</v>
      </c>
      <c r="I51" s="25" t="s">
        <v>69</v>
      </c>
      <c r="J51" s="25">
        <v>43592</v>
      </c>
      <c r="K51" s="25" t="s">
        <v>418</v>
      </c>
      <c r="L51" s="25">
        <v>43592</v>
      </c>
      <c r="M51" s="25">
        <v>2019</v>
      </c>
      <c r="N51" s="25">
        <v>239</v>
      </c>
      <c r="O51" s="25">
        <v>43615</v>
      </c>
      <c r="P51" s="25">
        <v>2019</v>
      </c>
      <c r="Q51" s="25">
        <v>239</v>
      </c>
      <c r="R51" s="25">
        <v>136</v>
      </c>
      <c r="S51" s="25">
        <v>18</v>
      </c>
      <c r="T51" s="25">
        <v>18</v>
      </c>
      <c r="U51" s="25">
        <v>0</v>
      </c>
      <c r="V51" s="25" t="s">
        <v>22</v>
      </c>
      <c r="W51" s="25" t="s">
        <v>261</v>
      </c>
      <c r="X51" s="25">
        <v>13.277777777777779</v>
      </c>
    </row>
    <row r="52" spans="1:24">
      <c r="A52" s="25" t="s">
        <v>419</v>
      </c>
      <c r="B52" s="25" t="s">
        <v>420</v>
      </c>
      <c r="C52" s="25" t="s">
        <v>20</v>
      </c>
      <c r="D52" s="25" t="s">
        <v>21</v>
      </c>
      <c r="E52" s="25" t="s">
        <v>268</v>
      </c>
      <c r="F52" s="25" t="s">
        <v>23</v>
      </c>
      <c r="G52" s="25" t="s">
        <v>269</v>
      </c>
      <c r="H52" s="25" t="s">
        <v>173</v>
      </c>
      <c r="I52" s="25" t="s">
        <v>173</v>
      </c>
      <c r="J52" s="25">
        <v>43599</v>
      </c>
      <c r="K52" s="25" t="s">
        <v>421</v>
      </c>
      <c r="L52" s="25">
        <v>43605</v>
      </c>
      <c r="M52" s="25">
        <v>2019</v>
      </c>
      <c r="N52" s="25">
        <v>468</v>
      </c>
      <c r="O52" s="25">
        <v>43647</v>
      </c>
      <c r="P52" s="25">
        <v>2019</v>
      </c>
      <c r="Q52" s="25">
        <v>468</v>
      </c>
      <c r="R52" s="25">
        <v>239</v>
      </c>
      <c r="S52" s="25">
        <v>31</v>
      </c>
      <c r="T52" s="25">
        <v>31</v>
      </c>
      <c r="U52" s="25">
        <v>0</v>
      </c>
      <c r="V52" s="25" t="s">
        <v>22</v>
      </c>
      <c r="W52" s="25" t="s">
        <v>263</v>
      </c>
      <c r="X52" s="25">
        <v>15.096774193548388</v>
      </c>
    </row>
    <row r="53" spans="1:24">
      <c r="A53" s="25" t="s">
        <v>422</v>
      </c>
      <c r="B53" s="25" t="s">
        <v>423</v>
      </c>
      <c r="C53" s="25" t="s">
        <v>20</v>
      </c>
      <c r="D53" s="25" t="s">
        <v>21</v>
      </c>
      <c r="E53" s="25" t="s">
        <v>268</v>
      </c>
      <c r="F53" s="25" t="s">
        <v>23</v>
      </c>
      <c r="G53" s="25" t="s">
        <v>269</v>
      </c>
      <c r="H53" s="25" t="s">
        <v>197</v>
      </c>
      <c r="I53" s="25" t="s">
        <v>197</v>
      </c>
      <c r="J53" s="25">
        <v>43657</v>
      </c>
      <c r="K53" s="25" t="s">
        <v>424</v>
      </c>
      <c r="L53" s="25">
        <v>43657</v>
      </c>
      <c r="M53" s="25">
        <v>2019</v>
      </c>
      <c r="N53" s="25">
        <v>309</v>
      </c>
      <c r="O53" s="25">
        <v>43823</v>
      </c>
      <c r="P53" s="25">
        <v>2019</v>
      </c>
      <c r="Q53" s="25">
        <v>309</v>
      </c>
      <c r="R53" s="25">
        <v>175</v>
      </c>
      <c r="S53" s="25">
        <v>112</v>
      </c>
      <c r="T53" s="25">
        <v>112</v>
      </c>
      <c r="U53" s="25">
        <v>0</v>
      </c>
      <c r="V53" s="25" t="s">
        <v>22</v>
      </c>
      <c r="W53" s="25" t="s">
        <v>264</v>
      </c>
      <c r="X53" s="25">
        <v>2.7589285714285716</v>
      </c>
    </row>
    <row r="54" spans="1:24">
      <c r="A54" s="25" t="s">
        <v>425</v>
      </c>
      <c r="B54" s="25" t="s">
        <v>423</v>
      </c>
      <c r="C54" s="25" t="s">
        <v>20</v>
      </c>
      <c r="D54" s="25" t="s">
        <v>21</v>
      </c>
      <c r="E54" s="25" t="s">
        <v>268</v>
      </c>
      <c r="F54" s="25" t="s">
        <v>23</v>
      </c>
      <c r="G54" s="25" t="s">
        <v>269</v>
      </c>
      <c r="H54" s="25" t="s">
        <v>197</v>
      </c>
      <c r="I54" s="25" t="s">
        <v>197</v>
      </c>
      <c r="J54" s="25">
        <v>43753</v>
      </c>
      <c r="K54" s="25" t="s">
        <v>426</v>
      </c>
      <c r="L54" s="25">
        <v>43753</v>
      </c>
      <c r="M54" s="25">
        <v>2019</v>
      </c>
      <c r="N54" s="25">
        <v>49</v>
      </c>
      <c r="O54" s="25">
        <v>44192</v>
      </c>
      <c r="P54" s="25">
        <v>2020</v>
      </c>
      <c r="Q54" s="25">
        <v>49</v>
      </c>
      <c r="S54" s="25">
        <v>243</v>
      </c>
      <c r="T54" s="25">
        <v>243</v>
      </c>
      <c r="U54" s="25">
        <v>0</v>
      </c>
      <c r="V54" s="25" t="s">
        <v>22</v>
      </c>
      <c r="W54" s="25" t="s">
        <v>264</v>
      </c>
      <c r="X54" s="25">
        <v>0.20164609053497942</v>
      </c>
    </row>
    <row r="55" spans="1:24">
      <c r="A55" s="25" t="s">
        <v>427</v>
      </c>
      <c r="B55" s="25" t="s">
        <v>428</v>
      </c>
      <c r="C55" s="25" t="s">
        <v>20</v>
      </c>
      <c r="D55" s="25" t="s">
        <v>21</v>
      </c>
      <c r="E55" s="25" t="s">
        <v>268</v>
      </c>
      <c r="F55" s="25" t="s">
        <v>23</v>
      </c>
      <c r="G55" s="25" t="s">
        <v>269</v>
      </c>
      <c r="H55" s="25" t="s">
        <v>429</v>
      </c>
      <c r="I55" s="25" t="s">
        <v>197</v>
      </c>
      <c r="J55" s="25">
        <v>43658</v>
      </c>
      <c r="K55" s="25" t="s">
        <v>430</v>
      </c>
      <c r="L55" s="25">
        <v>43658</v>
      </c>
      <c r="M55" s="25">
        <v>2019</v>
      </c>
      <c r="N55" s="25">
        <v>229</v>
      </c>
      <c r="O55" s="25">
        <v>43798</v>
      </c>
      <c r="P55" s="25">
        <v>2019</v>
      </c>
      <c r="Q55" s="25">
        <v>229</v>
      </c>
      <c r="R55" s="25">
        <v>160</v>
      </c>
      <c r="S55" s="25">
        <v>94</v>
      </c>
      <c r="T55" s="25">
        <v>94</v>
      </c>
      <c r="U55" s="25">
        <v>0</v>
      </c>
      <c r="V55" s="25" t="s">
        <v>22</v>
      </c>
      <c r="W55" s="25" t="s">
        <v>264</v>
      </c>
      <c r="X55" s="25">
        <v>2.4361702127659575</v>
      </c>
    </row>
    <row r="56" spans="1:24">
      <c r="A56" s="25" t="s">
        <v>431</v>
      </c>
      <c r="B56" s="25" t="s">
        <v>432</v>
      </c>
      <c r="C56" s="25" t="s">
        <v>20</v>
      </c>
      <c r="D56" s="25" t="s">
        <v>21</v>
      </c>
      <c r="E56" s="25" t="s">
        <v>268</v>
      </c>
      <c r="F56" s="25" t="s">
        <v>23</v>
      </c>
      <c r="G56" s="25" t="s">
        <v>273</v>
      </c>
      <c r="H56" s="25" t="s">
        <v>197</v>
      </c>
      <c r="I56" s="25" t="s">
        <v>197</v>
      </c>
      <c r="J56" s="25">
        <v>43672</v>
      </c>
      <c r="K56" s="25" t="s">
        <v>433</v>
      </c>
      <c r="L56" s="25">
        <v>43685</v>
      </c>
      <c r="M56" s="25">
        <v>2019</v>
      </c>
      <c r="N56" s="25">
        <v>62</v>
      </c>
      <c r="O56" s="25">
        <v>43752</v>
      </c>
      <c r="P56" s="25">
        <v>2019</v>
      </c>
      <c r="Q56" s="25">
        <v>62</v>
      </c>
      <c r="R56" s="25">
        <v>46</v>
      </c>
      <c r="S56" s="25">
        <v>45</v>
      </c>
      <c r="T56" s="25">
        <v>45</v>
      </c>
      <c r="U56" s="25">
        <v>0</v>
      </c>
      <c r="V56" s="25" t="s">
        <v>22</v>
      </c>
      <c r="W56" s="25" t="s">
        <v>264</v>
      </c>
      <c r="X56" s="25">
        <v>1.3777777777777778</v>
      </c>
    </row>
    <row r="57" spans="1:24">
      <c r="A57" s="25" t="s">
        <v>434</v>
      </c>
      <c r="B57" s="25" t="s">
        <v>435</v>
      </c>
      <c r="C57" s="25" t="s">
        <v>20</v>
      </c>
      <c r="D57" s="25" t="s">
        <v>21</v>
      </c>
      <c r="E57" s="25" t="s">
        <v>268</v>
      </c>
      <c r="F57" s="25" t="s">
        <v>23</v>
      </c>
      <c r="G57" s="25" t="s">
        <v>269</v>
      </c>
      <c r="H57" s="25" t="s">
        <v>429</v>
      </c>
      <c r="I57" s="25" t="s">
        <v>197</v>
      </c>
      <c r="J57" s="25">
        <v>43672</v>
      </c>
      <c r="K57" s="25" t="s">
        <v>436</v>
      </c>
      <c r="L57" s="25">
        <v>43682</v>
      </c>
      <c r="M57" s="25">
        <v>2019</v>
      </c>
      <c r="N57" s="25">
        <v>53</v>
      </c>
      <c r="O57" s="25">
        <v>43837</v>
      </c>
      <c r="P57" s="25">
        <v>2020</v>
      </c>
      <c r="Q57" s="25">
        <v>53</v>
      </c>
      <c r="R57" s="25">
        <v>49</v>
      </c>
      <c r="S57" s="25">
        <v>105</v>
      </c>
      <c r="T57" s="25">
        <v>105</v>
      </c>
      <c r="U57" s="25">
        <v>0</v>
      </c>
      <c r="V57" s="25" t="s">
        <v>22</v>
      </c>
      <c r="W57" s="25" t="s">
        <v>264</v>
      </c>
      <c r="X57" s="25">
        <v>0.50476190476190474</v>
      </c>
    </row>
    <row r="58" spans="1:24">
      <c r="A58" s="25" t="s">
        <v>437</v>
      </c>
      <c r="B58" s="25" t="s">
        <v>438</v>
      </c>
      <c r="C58" s="25" t="s">
        <v>20</v>
      </c>
      <c r="D58" s="25" t="s">
        <v>21</v>
      </c>
      <c r="E58" s="25" t="s">
        <v>268</v>
      </c>
      <c r="F58" s="25" t="s">
        <v>23</v>
      </c>
      <c r="G58" s="25" t="s">
        <v>269</v>
      </c>
      <c r="H58" s="25" t="s">
        <v>429</v>
      </c>
      <c r="I58" s="25" t="s">
        <v>197</v>
      </c>
      <c r="J58" s="25">
        <v>43677</v>
      </c>
      <c r="K58" s="25" t="s">
        <v>439</v>
      </c>
      <c r="L58" s="25">
        <v>43690</v>
      </c>
      <c r="M58" s="25">
        <v>2019</v>
      </c>
      <c r="N58" s="25">
        <v>478</v>
      </c>
      <c r="O58" s="25">
        <v>43881</v>
      </c>
      <c r="P58" s="25">
        <v>2020</v>
      </c>
      <c r="Q58" s="25">
        <v>478</v>
      </c>
      <c r="R58" s="25">
        <v>84</v>
      </c>
      <c r="S58" s="25">
        <v>131</v>
      </c>
      <c r="T58" s="25">
        <v>131</v>
      </c>
      <c r="U58" s="25">
        <v>0</v>
      </c>
      <c r="V58" s="25" t="s">
        <v>22</v>
      </c>
      <c r="W58" s="25" t="s">
        <v>264</v>
      </c>
      <c r="X58" s="25">
        <v>3.6488549618320612</v>
      </c>
    </row>
    <row r="59" spans="1:24">
      <c r="A59" s="25" t="s">
        <v>440</v>
      </c>
      <c r="B59" s="25" t="s">
        <v>441</v>
      </c>
      <c r="C59" s="25" t="s">
        <v>20</v>
      </c>
      <c r="D59" s="25" t="s">
        <v>21</v>
      </c>
      <c r="E59" s="25" t="s">
        <v>268</v>
      </c>
      <c r="F59" s="25" t="s">
        <v>23</v>
      </c>
      <c r="G59" s="25" t="s">
        <v>269</v>
      </c>
      <c r="H59" s="25" t="s">
        <v>196</v>
      </c>
      <c r="I59" s="25" t="s">
        <v>197</v>
      </c>
      <c r="J59" s="25">
        <v>43682</v>
      </c>
      <c r="K59" s="25" t="s">
        <v>442</v>
      </c>
      <c r="L59" s="25">
        <v>43682</v>
      </c>
      <c r="M59" s="25">
        <v>2019</v>
      </c>
      <c r="N59" s="25">
        <v>258</v>
      </c>
      <c r="O59" s="25">
        <v>43752</v>
      </c>
      <c r="P59" s="25">
        <v>2019</v>
      </c>
      <c r="Q59" s="25">
        <v>258</v>
      </c>
      <c r="R59" s="25">
        <v>122</v>
      </c>
      <c r="S59" s="25">
        <v>48</v>
      </c>
      <c r="T59" s="25">
        <v>48</v>
      </c>
      <c r="U59" s="25">
        <v>0</v>
      </c>
      <c r="V59" s="25" t="s">
        <v>22</v>
      </c>
      <c r="W59" s="25" t="s">
        <v>262</v>
      </c>
      <c r="X59" s="25">
        <v>5.375</v>
      </c>
    </row>
    <row r="60" spans="1:24">
      <c r="A60" s="25" t="s">
        <v>443</v>
      </c>
      <c r="B60" s="25" t="s">
        <v>444</v>
      </c>
      <c r="C60" s="25" t="s">
        <v>20</v>
      </c>
      <c r="D60" s="25" t="s">
        <v>21</v>
      </c>
      <c r="E60" s="25" t="s">
        <v>268</v>
      </c>
      <c r="F60" s="25" t="s">
        <v>23</v>
      </c>
      <c r="G60" s="25" t="s">
        <v>269</v>
      </c>
      <c r="H60" s="25" t="s">
        <v>196</v>
      </c>
      <c r="I60" s="25" t="s">
        <v>197</v>
      </c>
      <c r="J60" s="25">
        <v>43698</v>
      </c>
      <c r="K60" s="25" t="s">
        <v>445</v>
      </c>
      <c r="L60" s="25">
        <v>43698</v>
      </c>
      <c r="M60" s="25">
        <v>2019</v>
      </c>
      <c r="N60" s="25">
        <v>74</v>
      </c>
      <c r="O60" s="25">
        <v>43825</v>
      </c>
      <c r="P60" s="25">
        <v>2019</v>
      </c>
      <c r="Q60" s="25">
        <v>74</v>
      </c>
      <c r="R60" s="25">
        <v>65</v>
      </c>
      <c r="S60" s="25">
        <v>86</v>
      </c>
      <c r="T60" s="25">
        <v>86</v>
      </c>
      <c r="U60" s="25">
        <v>0</v>
      </c>
      <c r="V60" s="25" t="s">
        <v>22</v>
      </c>
      <c r="W60" s="25" t="s">
        <v>262</v>
      </c>
      <c r="X60" s="25">
        <v>0.86046511627906974</v>
      </c>
    </row>
    <row r="61" spans="1:24">
      <c r="A61" s="25" t="s">
        <v>446</v>
      </c>
      <c r="B61" s="25" t="s">
        <v>447</v>
      </c>
      <c r="C61" s="25" t="s">
        <v>20</v>
      </c>
      <c r="D61" s="25" t="s">
        <v>21</v>
      </c>
      <c r="E61" s="25" t="s">
        <v>268</v>
      </c>
      <c r="F61" s="25" t="s">
        <v>23</v>
      </c>
      <c r="G61" s="25" t="s">
        <v>24</v>
      </c>
      <c r="H61" s="25" t="s">
        <v>173</v>
      </c>
      <c r="I61" s="25" t="s">
        <v>173</v>
      </c>
      <c r="J61" s="25">
        <v>43700</v>
      </c>
      <c r="K61" s="25" t="s">
        <v>448</v>
      </c>
      <c r="L61" s="25">
        <v>43700</v>
      </c>
      <c r="M61" s="25">
        <v>2019</v>
      </c>
      <c r="N61" s="25">
        <v>27</v>
      </c>
      <c r="O61" s="25">
        <v>43738</v>
      </c>
      <c r="P61" s="25">
        <v>2019</v>
      </c>
      <c r="Q61" s="25">
        <v>27</v>
      </c>
      <c r="R61" s="25">
        <v>5</v>
      </c>
      <c r="S61" s="25">
        <v>25</v>
      </c>
      <c r="T61" s="25">
        <v>25</v>
      </c>
      <c r="U61" s="25">
        <v>0</v>
      </c>
      <c r="V61" s="25" t="s">
        <v>22</v>
      </c>
      <c r="W61" s="25" t="s">
        <v>263</v>
      </c>
      <c r="X61" s="25">
        <v>1.08</v>
      </c>
    </row>
    <row r="62" spans="1:24">
      <c r="A62" s="25" t="s">
        <v>449</v>
      </c>
      <c r="B62" s="25" t="s">
        <v>450</v>
      </c>
      <c r="C62" s="25" t="s">
        <v>20</v>
      </c>
      <c r="D62" s="25" t="s">
        <v>21</v>
      </c>
      <c r="E62" s="25" t="s">
        <v>268</v>
      </c>
      <c r="F62" s="25" t="s">
        <v>23</v>
      </c>
      <c r="G62" s="25" t="s">
        <v>273</v>
      </c>
      <c r="H62" s="25" t="s">
        <v>197</v>
      </c>
      <c r="I62" s="25" t="s">
        <v>197</v>
      </c>
      <c r="J62" s="25">
        <v>43703</v>
      </c>
      <c r="K62" s="25" t="s">
        <v>451</v>
      </c>
      <c r="L62" s="25">
        <v>43703</v>
      </c>
      <c r="M62" s="25">
        <v>2019</v>
      </c>
      <c r="N62" s="25">
        <v>65</v>
      </c>
      <c r="O62" s="25">
        <v>43749</v>
      </c>
      <c r="P62" s="25">
        <v>2019</v>
      </c>
      <c r="Q62" s="25">
        <v>65</v>
      </c>
      <c r="R62" s="25">
        <v>51</v>
      </c>
      <c r="S62" s="25">
        <v>32</v>
      </c>
      <c r="T62" s="25">
        <v>32</v>
      </c>
      <c r="U62" s="25">
        <v>0</v>
      </c>
      <c r="V62" s="25" t="s">
        <v>22</v>
      </c>
      <c r="W62" s="25" t="s">
        <v>264</v>
      </c>
      <c r="X62" s="25">
        <v>2.03125</v>
      </c>
    </row>
    <row r="63" spans="1:24">
      <c r="A63" s="25" t="s">
        <v>452</v>
      </c>
      <c r="B63" s="25" t="s">
        <v>453</v>
      </c>
      <c r="C63" s="25" t="s">
        <v>20</v>
      </c>
      <c r="D63" s="25" t="s">
        <v>21</v>
      </c>
      <c r="E63" s="25" t="s">
        <v>268</v>
      </c>
      <c r="F63" s="25" t="s">
        <v>23</v>
      </c>
      <c r="G63" s="25" t="s">
        <v>269</v>
      </c>
      <c r="H63" s="25" t="s">
        <v>197</v>
      </c>
      <c r="I63" s="25" t="s">
        <v>197</v>
      </c>
      <c r="J63" s="25">
        <v>43710</v>
      </c>
      <c r="K63" s="25" t="s">
        <v>454</v>
      </c>
      <c r="L63" s="25">
        <v>43714</v>
      </c>
      <c r="M63" s="25">
        <v>2019</v>
      </c>
      <c r="N63" s="25">
        <v>284</v>
      </c>
      <c r="O63" s="25">
        <v>43798</v>
      </c>
      <c r="P63" s="25">
        <v>2019</v>
      </c>
      <c r="Q63" s="25">
        <v>284</v>
      </c>
      <c r="R63" s="25">
        <v>178</v>
      </c>
      <c r="S63" s="25">
        <v>58</v>
      </c>
      <c r="T63" s="25">
        <v>58</v>
      </c>
      <c r="U63" s="25">
        <v>0</v>
      </c>
      <c r="V63" s="25" t="s">
        <v>22</v>
      </c>
      <c r="W63" s="25" t="s">
        <v>264</v>
      </c>
      <c r="X63" s="25">
        <v>4.8965517241379306</v>
      </c>
    </row>
    <row r="64" spans="1:24">
      <c r="A64" s="25" t="s">
        <v>455</v>
      </c>
      <c r="B64" s="25" t="s">
        <v>456</v>
      </c>
      <c r="C64" s="25" t="s">
        <v>20</v>
      </c>
      <c r="D64" s="25" t="s">
        <v>21</v>
      </c>
      <c r="E64" s="25" t="s">
        <v>268</v>
      </c>
      <c r="F64" s="25" t="s">
        <v>23</v>
      </c>
      <c r="G64" s="25" t="s">
        <v>269</v>
      </c>
      <c r="H64" s="25" t="s">
        <v>197</v>
      </c>
      <c r="I64" s="25" t="s">
        <v>197</v>
      </c>
      <c r="J64" s="25">
        <v>43710</v>
      </c>
      <c r="K64" s="25" t="s">
        <v>457</v>
      </c>
      <c r="L64" s="25">
        <v>43717</v>
      </c>
      <c r="M64" s="25">
        <v>2019</v>
      </c>
      <c r="N64" s="25">
        <v>25</v>
      </c>
      <c r="O64" s="25">
        <v>44000</v>
      </c>
      <c r="P64" s="25">
        <v>2020</v>
      </c>
      <c r="Q64" s="25">
        <v>25</v>
      </c>
      <c r="R64" s="25">
        <v>25</v>
      </c>
      <c r="S64" s="25">
        <v>136</v>
      </c>
      <c r="T64" s="25">
        <v>136</v>
      </c>
      <c r="U64" s="25">
        <v>0</v>
      </c>
      <c r="V64" s="25" t="s">
        <v>22</v>
      </c>
      <c r="W64" s="25" t="s">
        <v>264</v>
      </c>
      <c r="X64" s="25">
        <v>0.18382352941176472</v>
      </c>
    </row>
    <row r="65" spans="1:24">
      <c r="A65" s="25" t="s">
        <v>458</v>
      </c>
      <c r="B65" s="25" t="s">
        <v>459</v>
      </c>
      <c r="C65" s="25" t="s">
        <v>20</v>
      </c>
      <c r="D65" s="25" t="s">
        <v>21</v>
      </c>
      <c r="E65" s="25" t="s">
        <v>268</v>
      </c>
      <c r="F65" s="25" t="s">
        <v>23</v>
      </c>
      <c r="G65" s="25" t="s">
        <v>273</v>
      </c>
      <c r="H65" s="25" t="s">
        <v>429</v>
      </c>
      <c r="I65" s="25" t="s">
        <v>197</v>
      </c>
      <c r="J65" s="25">
        <v>43712</v>
      </c>
      <c r="K65" s="25" t="s">
        <v>460</v>
      </c>
      <c r="L65" s="25">
        <v>43717</v>
      </c>
      <c r="M65" s="25">
        <v>2019</v>
      </c>
      <c r="N65" s="25">
        <v>173</v>
      </c>
      <c r="O65" s="25">
        <v>43837</v>
      </c>
      <c r="P65" s="25">
        <v>2020</v>
      </c>
      <c r="Q65" s="25">
        <v>173</v>
      </c>
      <c r="R65" s="25">
        <v>92</v>
      </c>
      <c r="S65" s="25">
        <v>82</v>
      </c>
      <c r="T65" s="25">
        <v>82</v>
      </c>
      <c r="U65" s="25">
        <v>0</v>
      </c>
      <c r="V65" s="25" t="s">
        <v>22</v>
      </c>
      <c r="W65" s="25" t="s">
        <v>264</v>
      </c>
      <c r="X65" s="25">
        <v>2.1097560975609757</v>
      </c>
    </row>
    <row r="66" spans="1:24">
      <c r="A66" s="25" t="s">
        <v>461</v>
      </c>
      <c r="B66" s="25" t="s">
        <v>462</v>
      </c>
      <c r="C66" s="25" t="s">
        <v>20</v>
      </c>
      <c r="D66" s="25" t="s">
        <v>21</v>
      </c>
      <c r="E66" s="25" t="s">
        <v>268</v>
      </c>
      <c r="F66" s="25" t="s">
        <v>23</v>
      </c>
      <c r="G66" s="25" t="s">
        <v>273</v>
      </c>
      <c r="H66" s="25" t="s">
        <v>197</v>
      </c>
      <c r="I66" s="25" t="s">
        <v>197</v>
      </c>
      <c r="J66" s="25">
        <v>43727</v>
      </c>
      <c r="K66" s="25" t="s">
        <v>463</v>
      </c>
      <c r="L66" s="25">
        <v>43767</v>
      </c>
      <c r="M66" s="25">
        <v>2019</v>
      </c>
      <c r="N66" s="25">
        <v>4</v>
      </c>
      <c r="O66" s="25">
        <v>44351</v>
      </c>
      <c r="P66" s="25">
        <v>2021</v>
      </c>
      <c r="Q66" s="25">
        <v>4</v>
      </c>
      <c r="R66" s="25">
        <v>3</v>
      </c>
      <c r="S66" s="25">
        <v>344</v>
      </c>
      <c r="T66" s="25">
        <v>344</v>
      </c>
      <c r="U66" s="25">
        <v>0</v>
      </c>
      <c r="V66" s="25" t="s">
        <v>22</v>
      </c>
      <c r="W66" s="25" t="s">
        <v>264</v>
      </c>
      <c r="X66" s="25">
        <v>1.1627906976744186E-2</v>
      </c>
    </row>
    <row r="67" spans="1:24">
      <c r="A67" s="25" t="s">
        <v>464</v>
      </c>
      <c r="B67" s="25" t="s">
        <v>465</v>
      </c>
      <c r="C67" s="25" t="s">
        <v>20</v>
      </c>
      <c r="D67" s="25" t="s">
        <v>21</v>
      </c>
      <c r="E67" s="25" t="s">
        <v>268</v>
      </c>
      <c r="F67" s="25" t="s">
        <v>23</v>
      </c>
      <c r="G67" s="25" t="s">
        <v>273</v>
      </c>
      <c r="H67" s="25" t="s">
        <v>196</v>
      </c>
      <c r="I67" s="25" t="s">
        <v>197</v>
      </c>
      <c r="J67" s="25">
        <v>43727</v>
      </c>
      <c r="K67" s="25" t="s">
        <v>466</v>
      </c>
      <c r="L67" s="25">
        <v>43734</v>
      </c>
      <c r="M67" s="25">
        <v>2019</v>
      </c>
      <c r="N67" s="25">
        <v>24</v>
      </c>
      <c r="O67" s="25">
        <v>44439</v>
      </c>
      <c r="P67" s="25">
        <v>2021</v>
      </c>
      <c r="Q67" s="25">
        <v>24</v>
      </c>
      <c r="R67" s="25">
        <v>12</v>
      </c>
      <c r="S67" s="25">
        <v>424</v>
      </c>
      <c r="T67" s="25">
        <v>424</v>
      </c>
      <c r="U67" s="25">
        <v>0</v>
      </c>
      <c r="V67" s="25" t="s">
        <v>22</v>
      </c>
      <c r="W67" s="25" t="s">
        <v>262</v>
      </c>
      <c r="X67" s="25">
        <v>5.6603773584905662E-2</v>
      </c>
    </row>
    <row r="68" spans="1:24">
      <c r="A68" s="25" t="s">
        <v>467</v>
      </c>
      <c r="B68" s="25" t="s">
        <v>468</v>
      </c>
      <c r="C68" s="25" t="s">
        <v>20</v>
      </c>
      <c r="D68" s="25" t="s">
        <v>21</v>
      </c>
      <c r="E68" s="25" t="s">
        <v>268</v>
      </c>
      <c r="F68" s="25" t="s">
        <v>23</v>
      </c>
      <c r="G68" s="25" t="s">
        <v>269</v>
      </c>
      <c r="H68" s="25" t="s">
        <v>173</v>
      </c>
      <c r="I68" s="25" t="s">
        <v>173</v>
      </c>
      <c r="J68" s="25">
        <v>43739</v>
      </c>
      <c r="K68" s="25" t="s">
        <v>469</v>
      </c>
      <c r="L68" s="25">
        <v>43780</v>
      </c>
      <c r="M68" s="25">
        <v>2019</v>
      </c>
      <c r="N68" s="25">
        <v>150</v>
      </c>
      <c r="O68" s="25">
        <v>44316</v>
      </c>
      <c r="P68" s="25">
        <v>2021</v>
      </c>
      <c r="Q68" s="25">
        <v>150</v>
      </c>
      <c r="R68" s="25">
        <v>111</v>
      </c>
      <c r="S68" s="25">
        <v>312</v>
      </c>
      <c r="T68" s="25">
        <v>312</v>
      </c>
      <c r="U68" s="25">
        <v>0</v>
      </c>
      <c r="V68" s="25" t="s">
        <v>22</v>
      </c>
      <c r="W68" s="25" t="s">
        <v>263</v>
      </c>
      <c r="X68" s="25">
        <v>0.48076923076923078</v>
      </c>
    </row>
    <row r="69" spans="1:24">
      <c r="A69" s="25" t="s">
        <v>470</v>
      </c>
      <c r="B69" s="25" t="s">
        <v>471</v>
      </c>
      <c r="C69" s="25" t="s">
        <v>20</v>
      </c>
      <c r="D69" s="25" t="s">
        <v>21</v>
      </c>
      <c r="E69" s="25" t="s">
        <v>268</v>
      </c>
      <c r="F69" s="25" t="s">
        <v>23</v>
      </c>
      <c r="G69" s="25" t="s">
        <v>273</v>
      </c>
      <c r="H69" s="25" t="s">
        <v>173</v>
      </c>
      <c r="I69" s="25" t="s">
        <v>173</v>
      </c>
      <c r="J69" s="25">
        <v>43773</v>
      </c>
      <c r="K69" s="25" t="s">
        <v>472</v>
      </c>
      <c r="L69" s="25">
        <v>43812</v>
      </c>
      <c r="M69" s="25">
        <v>2019</v>
      </c>
      <c r="N69" s="25">
        <v>5</v>
      </c>
      <c r="O69" s="25">
        <v>44110</v>
      </c>
      <c r="P69" s="25">
        <v>2020</v>
      </c>
      <c r="Q69" s="25">
        <v>5</v>
      </c>
      <c r="R69" s="25">
        <v>4</v>
      </c>
      <c r="S69" s="25">
        <v>147</v>
      </c>
      <c r="T69" s="25">
        <v>147</v>
      </c>
      <c r="U69" s="25">
        <v>0</v>
      </c>
      <c r="V69" s="25" t="s">
        <v>22</v>
      </c>
      <c r="W69" s="25" t="s">
        <v>263</v>
      </c>
      <c r="X69" s="25">
        <v>3.4013605442176874E-2</v>
      </c>
    </row>
    <row r="70" spans="1:24">
      <c r="A70" s="25" t="s">
        <v>473</v>
      </c>
      <c r="B70" s="25" t="s">
        <v>474</v>
      </c>
      <c r="C70" s="25" t="s">
        <v>20</v>
      </c>
      <c r="D70" s="25" t="s">
        <v>21</v>
      </c>
      <c r="E70" s="25" t="s">
        <v>268</v>
      </c>
      <c r="F70" s="25" t="s">
        <v>23</v>
      </c>
      <c r="G70" s="25" t="s">
        <v>414</v>
      </c>
      <c r="H70" s="25" t="s">
        <v>429</v>
      </c>
      <c r="I70" s="25" t="s">
        <v>197</v>
      </c>
      <c r="J70" s="25">
        <v>43773</v>
      </c>
      <c r="K70" s="25" t="s">
        <v>475</v>
      </c>
      <c r="L70" s="25">
        <v>43777</v>
      </c>
      <c r="M70" s="25">
        <v>2019</v>
      </c>
      <c r="N70" s="25">
        <v>91</v>
      </c>
      <c r="O70" s="25">
        <v>43983</v>
      </c>
      <c r="P70" s="25">
        <v>2020</v>
      </c>
      <c r="Q70" s="25">
        <v>91</v>
      </c>
      <c r="R70" s="25">
        <v>397</v>
      </c>
      <c r="S70" s="25">
        <v>89</v>
      </c>
      <c r="T70" s="25">
        <v>89</v>
      </c>
      <c r="U70" s="25">
        <v>0</v>
      </c>
      <c r="V70" s="25" t="s">
        <v>22</v>
      </c>
      <c r="W70" s="25" t="s">
        <v>264</v>
      </c>
      <c r="X70" s="25">
        <v>1.0224719101123596</v>
      </c>
    </row>
    <row r="71" spans="1:24">
      <c r="A71" s="25" t="s">
        <v>476</v>
      </c>
      <c r="B71" s="25" t="s">
        <v>477</v>
      </c>
      <c r="C71" s="25" t="s">
        <v>20</v>
      </c>
      <c r="D71" s="25" t="s">
        <v>21</v>
      </c>
      <c r="E71" s="25" t="s">
        <v>268</v>
      </c>
      <c r="F71" s="25" t="s">
        <v>23</v>
      </c>
      <c r="G71" s="25" t="s">
        <v>273</v>
      </c>
      <c r="H71" s="25" t="s">
        <v>173</v>
      </c>
      <c r="I71" s="25" t="s">
        <v>173</v>
      </c>
      <c r="J71" s="25">
        <v>43788</v>
      </c>
      <c r="K71" s="25" t="s">
        <v>478</v>
      </c>
      <c r="L71" s="25">
        <v>43790</v>
      </c>
      <c r="M71" s="25">
        <v>2019</v>
      </c>
      <c r="N71" s="25">
        <v>133</v>
      </c>
      <c r="O71" s="25">
        <v>43994</v>
      </c>
      <c r="P71" s="25">
        <v>2020</v>
      </c>
      <c r="Q71" s="25">
        <v>133</v>
      </c>
      <c r="R71" s="25">
        <v>74</v>
      </c>
      <c r="S71" s="25">
        <v>82</v>
      </c>
      <c r="T71" s="25">
        <v>82</v>
      </c>
      <c r="U71" s="25">
        <v>0</v>
      </c>
      <c r="V71" s="25" t="s">
        <v>22</v>
      </c>
      <c r="W71" s="25" t="s">
        <v>263</v>
      </c>
      <c r="X71" s="25">
        <v>1.6219512195121952</v>
      </c>
    </row>
    <row r="72" spans="1:24">
      <c r="A72" s="25" t="s">
        <v>479</v>
      </c>
      <c r="B72" s="25" t="s">
        <v>480</v>
      </c>
      <c r="C72" s="25" t="s">
        <v>20</v>
      </c>
      <c r="D72" s="25" t="s">
        <v>21</v>
      </c>
      <c r="E72" s="25" t="s">
        <v>268</v>
      </c>
      <c r="F72" s="25" t="s">
        <v>23</v>
      </c>
      <c r="G72" s="25" t="s">
        <v>269</v>
      </c>
      <c r="H72" s="25" t="s">
        <v>429</v>
      </c>
      <c r="I72" s="25" t="s">
        <v>197</v>
      </c>
      <c r="J72" s="25">
        <v>43788</v>
      </c>
      <c r="K72" s="25" t="s">
        <v>481</v>
      </c>
      <c r="L72" s="25">
        <v>43805</v>
      </c>
      <c r="M72" s="25">
        <v>2019</v>
      </c>
      <c r="N72" s="25">
        <v>87</v>
      </c>
      <c r="O72" s="25">
        <v>43882</v>
      </c>
      <c r="P72" s="25">
        <v>2020</v>
      </c>
      <c r="Q72" s="25">
        <v>87</v>
      </c>
      <c r="R72" s="25">
        <v>75</v>
      </c>
      <c r="S72" s="25">
        <v>54</v>
      </c>
      <c r="T72" s="25">
        <v>54</v>
      </c>
      <c r="U72" s="25">
        <v>0</v>
      </c>
      <c r="V72" s="25" t="s">
        <v>22</v>
      </c>
      <c r="W72" s="25" t="s">
        <v>264</v>
      </c>
      <c r="X72" s="25">
        <v>1.6111111111111112</v>
      </c>
    </row>
    <row r="73" spans="1:24">
      <c r="A73" s="25" t="s">
        <v>482</v>
      </c>
      <c r="B73" s="25" t="s">
        <v>483</v>
      </c>
      <c r="C73" s="25" t="s">
        <v>20</v>
      </c>
      <c r="D73" s="25" t="s">
        <v>21</v>
      </c>
      <c r="E73" s="25" t="s">
        <v>268</v>
      </c>
      <c r="F73" s="25" t="s">
        <v>23</v>
      </c>
      <c r="G73" s="25" t="s">
        <v>273</v>
      </c>
      <c r="H73" s="25" t="s">
        <v>197</v>
      </c>
      <c r="I73" s="25" t="s">
        <v>197</v>
      </c>
      <c r="J73" s="25">
        <v>43788</v>
      </c>
      <c r="K73" s="25" t="s">
        <v>484</v>
      </c>
      <c r="L73" s="25">
        <v>43790</v>
      </c>
      <c r="M73" s="25">
        <v>2019</v>
      </c>
      <c r="N73" s="25">
        <v>80</v>
      </c>
      <c r="O73" s="25">
        <v>43875</v>
      </c>
      <c r="P73" s="25">
        <v>2020</v>
      </c>
      <c r="Q73" s="25">
        <v>80</v>
      </c>
      <c r="R73" s="25">
        <v>37</v>
      </c>
      <c r="S73" s="25">
        <v>60</v>
      </c>
      <c r="T73" s="25">
        <v>60</v>
      </c>
      <c r="U73" s="25">
        <v>0</v>
      </c>
      <c r="V73" s="25" t="s">
        <v>22</v>
      </c>
      <c r="W73" s="25" t="s">
        <v>264</v>
      </c>
      <c r="X73" s="25">
        <v>1.3333333333333333</v>
      </c>
    </row>
    <row r="74" spans="1:24">
      <c r="A74" s="25" t="s">
        <v>427</v>
      </c>
      <c r="B74" s="25" t="s">
        <v>485</v>
      </c>
      <c r="C74" s="25" t="s">
        <v>20</v>
      </c>
      <c r="D74" s="25" t="s">
        <v>21</v>
      </c>
      <c r="E74" s="25" t="s">
        <v>268</v>
      </c>
      <c r="F74" s="25" t="s">
        <v>23</v>
      </c>
      <c r="G74" s="25" t="s">
        <v>269</v>
      </c>
      <c r="H74" s="25" t="s">
        <v>486</v>
      </c>
      <c r="I74" s="25" t="s">
        <v>197</v>
      </c>
      <c r="J74" s="25">
        <v>43822</v>
      </c>
      <c r="K74" s="25" t="s">
        <v>487</v>
      </c>
      <c r="L74" s="25">
        <v>43891</v>
      </c>
      <c r="M74" s="25">
        <v>2020</v>
      </c>
      <c r="N74" s="25">
        <v>131</v>
      </c>
      <c r="O74" s="25">
        <v>44021</v>
      </c>
      <c r="P74" s="25">
        <v>2020</v>
      </c>
      <c r="Q74" s="25">
        <v>131</v>
      </c>
      <c r="R74" s="25">
        <v>110</v>
      </c>
      <c r="S74" s="25">
        <v>30</v>
      </c>
      <c r="T74" s="25">
        <v>30</v>
      </c>
      <c r="U74" s="25">
        <v>0</v>
      </c>
      <c r="V74" s="25" t="s">
        <v>22</v>
      </c>
      <c r="W74" s="25" t="s">
        <v>261</v>
      </c>
      <c r="X74" s="25">
        <v>4.3666666666666663</v>
      </c>
    </row>
    <row r="75" spans="1:24">
      <c r="A75" s="25" t="s">
        <v>488</v>
      </c>
      <c r="B75" s="25" t="s">
        <v>489</v>
      </c>
      <c r="C75" s="25" t="s">
        <v>20</v>
      </c>
      <c r="D75" s="25" t="s">
        <v>21</v>
      </c>
      <c r="E75" s="25" t="s">
        <v>268</v>
      </c>
      <c r="F75" s="25" t="s">
        <v>23</v>
      </c>
      <c r="G75" s="25" t="s">
        <v>269</v>
      </c>
      <c r="H75" s="25" t="s">
        <v>37</v>
      </c>
      <c r="I75" s="25" t="s">
        <v>37</v>
      </c>
      <c r="J75" s="25">
        <v>43800</v>
      </c>
      <c r="K75" s="25" t="s">
        <v>490</v>
      </c>
      <c r="L75" s="25">
        <v>43800</v>
      </c>
      <c r="M75" s="25">
        <v>2019</v>
      </c>
      <c r="N75" s="25">
        <v>376</v>
      </c>
      <c r="O75" s="25">
        <v>43829</v>
      </c>
      <c r="P75" s="25">
        <v>2019</v>
      </c>
      <c r="Q75" s="25">
        <v>376</v>
      </c>
      <c r="R75" s="25">
        <v>122</v>
      </c>
      <c r="S75" s="25">
        <v>20</v>
      </c>
      <c r="T75" s="25">
        <v>20</v>
      </c>
      <c r="U75" s="25">
        <v>0</v>
      </c>
      <c r="V75" s="25" t="s">
        <v>22</v>
      </c>
      <c r="W75" s="25" t="s">
        <v>260</v>
      </c>
      <c r="X75" s="25">
        <v>18.8</v>
      </c>
    </row>
    <row r="76" spans="1:24">
      <c r="A76" s="25" t="s">
        <v>491</v>
      </c>
      <c r="B76" s="25" t="s">
        <v>492</v>
      </c>
      <c r="C76" s="25" t="s">
        <v>20</v>
      </c>
      <c r="D76" s="25" t="s">
        <v>21</v>
      </c>
      <c r="E76" s="25" t="s">
        <v>268</v>
      </c>
      <c r="F76" s="25" t="s">
        <v>23</v>
      </c>
      <c r="G76" s="25" t="s">
        <v>273</v>
      </c>
      <c r="H76" s="25" t="s">
        <v>37</v>
      </c>
      <c r="I76" s="25" t="s">
        <v>37</v>
      </c>
      <c r="J76" s="25">
        <v>43800</v>
      </c>
      <c r="K76" s="25" t="s">
        <v>493</v>
      </c>
      <c r="L76" s="25">
        <v>43800</v>
      </c>
      <c r="M76" s="25">
        <v>2019</v>
      </c>
      <c r="N76" s="25">
        <v>356</v>
      </c>
      <c r="O76" s="25">
        <v>44103</v>
      </c>
      <c r="P76" s="25">
        <v>2020</v>
      </c>
      <c r="Q76" s="25">
        <v>356</v>
      </c>
      <c r="R76" s="25">
        <v>127</v>
      </c>
      <c r="S76" s="25">
        <v>151</v>
      </c>
      <c r="T76" s="25">
        <v>151</v>
      </c>
      <c r="U76" s="25">
        <v>0</v>
      </c>
      <c r="V76" s="25" t="s">
        <v>22</v>
      </c>
      <c r="W76" s="25" t="s">
        <v>260</v>
      </c>
      <c r="X76" s="25">
        <v>2.3576158940397351</v>
      </c>
    </row>
    <row r="77" spans="1:24">
      <c r="A77" s="25" t="s">
        <v>494</v>
      </c>
      <c r="B77" s="25" t="s">
        <v>495</v>
      </c>
      <c r="C77" s="25" t="s">
        <v>20</v>
      </c>
      <c r="D77" s="25" t="s">
        <v>21</v>
      </c>
      <c r="E77" s="25" t="s">
        <v>268</v>
      </c>
      <c r="F77" s="25" t="s">
        <v>23</v>
      </c>
      <c r="G77" s="25" t="s">
        <v>269</v>
      </c>
      <c r="H77" s="25" t="s">
        <v>36</v>
      </c>
      <c r="I77" s="25" t="s">
        <v>37</v>
      </c>
      <c r="J77" s="25">
        <v>43800</v>
      </c>
      <c r="K77" s="25" t="s">
        <v>496</v>
      </c>
      <c r="L77" s="25">
        <v>43800</v>
      </c>
      <c r="M77" s="25">
        <v>2019</v>
      </c>
      <c r="N77" s="25">
        <v>26</v>
      </c>
      <c r="O77" s="25">
        <v>44102</v>
      </c>
      <c r="P77" s="25">
        <v>2020</v>
      </c>
      <c r="Q77" s="25">
        <v>26</v>
      </c>
      <c r="R77" s="25">
        <v>24</v>
      </c>
      <c r="S77" s="25">
        <v>150</v>
      </c>
      <c r="T77" s="25">
        <v>150</v>
      </c>
      <c r="U77" s="25">
        <v>0</v>
      </c>
      <c r="V77" s="25" t="s">
        <v>22</v>
      </c>
      <c r="W77" s="25" t="s">
        <v>264</v>
      </c>
      <c r="X77" s="25">
        <v>0.17333333333333334</v>
      </c>
    </row>
    <row r="78" spans="1:24">
      <c r="A78" s="25" t="s">
        <v>497</v>
      </c>
      <c r="B78" s="25" t="s">
        <v>498</v>
      </c>
      <c r="C78" s="25" t="s">
        <v>20</v>
      </c>
      <c r="D78" s="25" t="s">
        <v>21</v>
      </c>
      <c r="E78" s="25" t="s">
        <v>268</v>
      </c>
      <c r="F78" s="25" t="s">
        <v>23</v>
      </c>
      <c r="G78" s="25" t="s">
        <v>269</v>
      </c>
      <c r="H78" s="25" t="s">
        <v>197</v>
      </c>
      <c r="I78" s="25" t="s">
        <v>197</v>
      </c>
      <c r="J78" s="25">
        <v>43854</v>
      </c>
      <c r="K78" s="25" t="s">
        <v>499</v>
      </c>
      <c r="L78" s="25">
        <v>43864</v>
      </c>
      <c r="M78" s="25">
        <v>2020</v>
      </c>
      <c r="N78" s="25">
        <v>27</v>
      </c>
      <c r="O78" s="25">
        <v>44193</v>
      </c>
      <c r="P78" s="25">
        <v>2020</v>
      </c>
      <c r="Q78" s="25">
        <v>27</v>
      </c>
      <c r="R78" s="25">
        <v>22</v>
      </c>
      <c r="S78" s="25">
        <v>169</v>
      </c>
      <c r="T78" s="25">
        <v>169</v>
      </c>
      <c r="U78" s="25">
        <v>0</v>
      </c>
      <c r="V78" s="25" t="s">
        <v>22</v>
      </c>
      <c r="W78" s="25" t="s">
        <v>264</v>
      </c>
      <c r="X78" s="25">
        <v>0.15976331360946747</v>
      </c>
    </row>
    <row r="79" spans="1:24">
      <c r="A79" s="25" t="s">
        <v>500</v>
      </c>
      <c r="B79" s="25" t="s">
        <v>501</v>
      </c>
      <c r="C79" s="25" t="s">
        <v>20</v>
      </c>
      <c r="D79" s="25" t="s">
        <v>21</v>
      </c>
      <c r="E79" s="25" t="s">
        <v>268</v>
      </c>
      <c r="F79" s="25" t="s">
        <v>23</v>
      </c>
      <c r="G79" s="25" t="s">
        <v>273</v>
      </c>
      <c r="H79" s="25" t="s">
        <v>197</v>
      </c>
      <c r="I79" s="25" t="s">
        <v>197</v>
      </c>
      <c r="J79" s="25">
        <v>43859</v>
      </c>
      <c r="K79" s="25" t="s">
        <v>502</v>
      </c>
      <c r="L79" s="25">
        <v>43871</v>
      </c>
      <c r="M79" s="25">
        <v>2020</v>
      </c>
      <c r="N79" s="25">
        <v>134</v>
      </c>
      <c r="O79" s="25">
        <v>44471</v>
      </c>
      <c r="P79" s="25">
        <v>2021</v>
      </c>
      <c r="Q79" s="25">
        <v>134</v>
      </c>
      <c r="R79" s="25">
        <v>119</v>
      </c>
      <c r="S79" s="25">
        <v>355</v>
      </c>
      <c r="T79" s="25">
        <v>355</v>
      </c>
      <c r="U79" s="25">
        <v>0</v>
      </c>
      <c r="V79" s="25" t="s">
        <v>22</v>
      </c>
      <c r="W79" s="25" t="s">
        <v>264</v>
      </c>
      <c r="X79" s="25">
        <v>0.37746478873239436</v>
      </c>
    </row>
    <row r="80" spans="1:24">
      <c r="A80" s="25" t="s">
        <v>503</v>
      </c>
      <c r="B80" s="25" t="s">
        <v>504</v>
      </c>
      <c r="C80" s="25" t="s">
        <v>20</v>
      </c>
      <c r="D80" s="25" t="s">
        <v>21</v>
      </c>
      <c r="E80" s="25" t="s">
        <v>268</v>
      </c>
      <c r="F80" s="25" t="s">
        <v>23</v>
      </c>
      <c r="G80" s="25" t="s">
        <v>269</v>
      </c>
      <c r="H80" s="25" t="s">
        <v>197</v>
      </c>
      <c r="I80" s="25" t="s">
        <v>197</v>
      </c>
      <c r="J80" s="25">
        <v>43896</v>
      </c>
      <c r="K80" s="25" t="s">
        <v>505</v>
      </c>
      <c r="L80" s="25">
        <v>43899</v>
      </c>
      <c r="M80" s="25">
        <v>2020</v>
      </c>
      <c r="N80" s="25">
        <v>34</v>
      </c>
      <c r="O80" s="25">
        <v>44200</v>
      </c>
      <c r="P80" s="25">
        <v>2021</v>
      </c>
      <c r="Q80" s="25">
        <v>34</v>
      </c>
      <c r="R80" s="25">
        <v>22</v>
      </c>
      <c r="S80" s="25">
        <v>147</v>
      </c>
      <c r="T80" s="25">
        <v>147</v>
      </c>
      <c r="U80" s="25">
        <v>0</v>
      </c>
      <c r="V80" s="25" t="s">
        <v>22</v>
      </c>
      <c r="W80" s="25" t="s">
        <v>264</v>
      </c>
      <c r="X80" s="25">
        <v>0.23129251700680273</v>
      </c>
    </row>
    <row r="81" spans="1:24">
      <c r="A81" s="25" t="s">
        <v>506</v>
      </c>
      <c r="B81" s="25" t="s">
        <v>507</v>
      </c>
      <c r="C81" s="25" t="s">
        <v>20</v>
      </c>
      <c r="D81" s="25" t="s">
        <v>21</v>
      </c>
      <c r="E81" s="25" t="s">
        <v>268</v>
      </c>
      <c r="F81" s="25" t="s">
        <v>23</v>
      </c>
      <c r="G81" s="25" t="s">
        <v>273</v>
      </c>
      <c r="H81" s="25" t="s">
        <v>196</v>
      </c>
      <c r="I81" s="25" t="s">
        <v>197</v>
      </c>
      <c r="J81" s="25">
        <v>43897</v>
      </c>
      <c r="K81" s="25" t="s">
        <v>508</v>
      </c>
      <c r="L81" s="25">
        <v>43899</v>
      </c>
      <c r="M81" s="25">
        <v>2020</v>
      </c>
      <c r="N81" s="25">
        <v>51</v>
      </c>
      <c r="O81" s="25">
        <v>44021</v>
      </c>
      <c r="P81" s="25">
        <v>2020</v>
      </c>
      <c r="Q81" s="25">
        <v>51</v>
      </c>
      <c r="R81" s="25">
        <v>44</v>
      </c>
      <c r="S81" s="25">
        <v>25</v>
      </c>
      <c r="T81" s="25">
        <v>25</v>
      </c>
      <c r="U81" s="25">
        <v>0</v>
      </c>
      <c r="V81" s="25" t="s">
        <v>22</v>
      </c>
      <c r="W81" s="25" t="s">
        <v>262</v>
      </c>
      <c r="X81" s="25">
        <v>2.04</v>
      </c>
    </row>
    <row r="82" spans="1:24">
      <c r="A82" s="25" t="s">
        <v>509</v>
      </c>
      <c r="B82" s="25" t="s">
        <v>510</v>
      </c>
      <c r="C82" s="25" t="s">
        <v>20</v>
      </c>
      <c r="D82" s="25" t="s">
        <v>21</v>
      </c>
      <c r="E82" s="25" t="s">
        <v>268</v>
      </c>
      <c r="F82" s="25" t="s">
        <v>23</v>
      </c>
      <c r="G82" s="25" t="s">
        <v>269</v>
      </c>
      <c r="H82" s="25" t="s">
        <v>197</v>
      </c>
      <c r="I82" s="25" t="s">
        <v>197</v>
      </c>
      <c r="J82" s="25">
        <v>43898</v>
      </c>
      <c r="K82" s="25" t="s">
        <v>511</v>
      </c>
      <c r="L82" s="25">
        <v>43899</v>
      </c>
      <c r="M82" s="25">
        <v>2020</v>
      </c>
      <c r="N82" s="25">
        <v>120</v>
      </c>
      <c r="O82" s="25">
        <v>44067</v>
      </c>
      <c r="P82" s="25">
        <v>2020</v>
      </c>
      <c r="Q82" s="25">
        <v>120</v>
      </c>
      <c r="R82" s="25">
        <v>53</v>
      </c>
      <c r="S82" s="25">
        <v>57</v>
      </c>
      <c r="T82" s="25">
        <v>57</v>
      </c>
      <c r="U82" s="25">
        <v>0</v>
      </c>
      <c r="V82" s="25" t="s">
        <v>22</v>
      </c>
      <c r="W82" s="25" t="s">
        <v>264</v>
      </c>
      <c r="X82" s="25">
        <v>2.1052631578947367</v>
      </c>
    </row>
    <row r="83" spans="1:24">
      <c r="A83" s="25" t="s">
        <v>512</v>
      </c>
      <c r="B83" s="25" t="s">
        <v>513</v>
      </c>
      <c r="C83" s="25" t="s">
        <v>20</v>
      </c>
      <c r="D83" s="25" t="s">
        <v>21</v>
      </c>
      <c r="E83" s="25" t="s">
        <v>268</v>
      </c>
      <c r="F83" s="25" t="s">
        <v>23</v>
      </c>
      <c r="G83" s="25" t="s">
        <v>269</v>
      </c>
      <c r="H83" s="25" t="s">
        <v>196</v>
      </c>
      <c r="I83" s="25" t="s">
        <v>197</v>
      </c>
      <c r="J83" s="25">
        <v>43957</v>
      </c>
      <c r="K83" s="25" t="s">
        <v>514</v>
      </c>
      <c r="L83" s="25">
        <v>43957</v>
      </c>
      <c r="M83" s="25">
        <v>2020</v>
      </c>
      <c r="N83" s="25">
        <v>248</v>
      </c>
      <c r="O83" s="25">
        <v>44060</v>
      </c>
      <c r="P83" s="25">
        <v>2020</v>
      </c>
      <c r="Q83" s="25">
        <v>248</v>
      </c>
      <c r="R83" s="25">
        <v>149</v>
      </c>
      <c r="S83" s="25">
        <v>47</v>
      </c>
      <c r="T83" s="25">
        <v>47</v>
      </c>
      <c r="U83" s="25">
        <v>0</v>
      </c>
      <c r="V83" s="25" t="s">
        <v>22</v>
      </c>
      <c r="W83" s="25" t="s">
        <v>262</v>
      </c>
      <c r="X83" s="25">
        <v>5.2765957446808507</v>
      </c>
    </row>
    <row r="84" spans="1:24">
      <c r="A84" s="25" t="s">
        <v>515</v>
      </c>
      <c r="B84" s="25" t="s">
        <v>516</v>
      </c>
      <c r="C84" s="25" t="s">
        <v>20</v>
      </c>
      <c r="D84" s="25" t="s">
        <v>21</v>
      </c>
      <c r="E84" s="25" t="s">
        <v>268</v>
      </c>
      <c r="F84" s="25" t="s">
        <v>23</v>
      </c>
      <c r="G84" s="25" t="s">
        <v>414</v>
      </c>
      <c r="H84" s="25" t="s">
        <v>486</v>
      </c>
      <c r="I84" s="25" t="s">
        <v>197</v>
      </c>
      <c r="J84" s="25">
        <v>43973</v>
      </c>
      <c r="K84" s="25" t="s">
        <v>517</v>
      </c>
      <c r="L84" s="25">
        <v>43973</v>
      </c>
      <c r="M84" s="25">
        <v>2020</v>
      </c>
      <c r="N84" s="25">
        <v>413</v>
      </c>
      <c r="O84" s="25">
        <v>44263</v>
      </c>
      <c r="P84" s="25">
        <v>2021</v>
      </c>
      <c r="Q84" s="25">
        <v>413</v>
      </c>
      <c r="R84" s="25">
        <v>249</v>
      </c>
      <c r="S84" s="25">
        <v>187</v>
      </c>
      <c r="T84" s="25">
        <v>187</v>
      </c>
      <c r="U84" s="25">
        <v>0</v>
      </c>
      <c r="V84" s="25" t="s">
        <v>22</v>
      </c>
      <c r="W84" s="25" t="s">
        <v>261</v>
      </c>
      <c r="X84" s="25">
        <v>2.2085561497326203</v>
      </c>
    </row>
    <row r="85" spans="1:24">
      <c r="A85" s="25" t="s">
        <v>518</v>
      </c>
      <c r="B85" s="25" t="s">
        <v>519</v>
      </c>
      <c r="C85" s="25" t="s">
        <v>20</v>
      </c>
      <c r="D85" s="25" t="s">
        <v>21</v>
      </c>
      <c r="E85" s="25" t="s">
        <v>268</v>
      </c>
      <c r="F85" s="25" t="s">
        <v>23</v>
      </c>
      <c r="G85" s="25" t="s">
        <v>269</v>
      </c>
      <c r="H85" s="25" t="s">
        <v>196</v>
      </c>
      <c r="I85" s="25" t="s">
        <v>197</v>
      </c>
      <c r="J85" s="25">
        <v>43973</v>
      </c>
      <c r="K85" s="25" t="s">
        <v>520</v>
      </c>
      <c r="L85" s="25">
        <v>43973</v>
      </c>
      <c r="M85" s="25">
        <v>2020</v>
      </c>
      <c r="N85" s="25">
        <v>157</v>
      </c>
      <c r="O85" s="25">
        <v>44473</v>
      </c>
      <c r="P85" s="25">
        <v>2021</v>
      </c>
      <c r="Q85" s="25">
        <v>157</v>
      </c>
      <c r="R85" s="25">
        <v>71</v>
      </c>
      <c r="S85" s="25">
        <v>331</v>
      </c>
      <c r="T85" s="25">
        <v>331</v>
      </c>
      <c r="U85" s="25">
        <v>0</v>
      </c>
      <c r="V85" s="25" t="s">
        <v>22</v>
      </c>
      <c r="W85" s="25" t="s">
        <v>262</v>
      </c>
      <c r="X85" s="25">
        <v>0.47432024169184289</v>
      </c>
    </row>
    <row r="86" spans="1:24">
      <c r="A86" s="25" t="s">
        <v>521</v>
      </c>
      <c r="B86" s="25" t="s">
        <v>522</v>
      </c>
      <c r="C86" s="25" t="s">
        <v>20</v>
      </c>
      <c r="D86" s="25" t="s">
        <v>21</v>
      </c>
      <c r="E86" s="25" t="s">
        <v>268</v>
      </c>
      <c r="F86" s="25" t="s">
        <v>23</v>
      </c>
      <c r="G86" s="25" t="s">
        <v>24</v>
      </c>
      <c r="H86" s="25" t="s">
        <v>429</v>
      </c>
      <c r="I86" s="25" t="s">
        <v>197</v>
      </c>
      <c r="J86" s="25">
        <v>43973</v>
      </c>
      <c r="K86" s="25" t="s">
        <v>523</v>
      </c>
      <c r="L86" s="25">
        <v>43973</v>
      </c>
      <c r="M86" s="25">
        <v>2020</v>
      </c>
      <c r="N86" s="25">
        <v>20</v>
      </c>
      <c r="O86" s="25">
        <v>43979</v>
      </c>
      <c r="P86" s="25">
        <v>2020</v>
      </c>
      <c r="Q86" s="25">
        <v>20</v>
      </c>
      <c r="R86" s="25">
        <v>2</v>
      </c>
      <c r="S86" s="25">
        <v>5</v>
      </c>
      <c r="T86" s="25">
        <v>0</v>
      </c>
      <c r="U86" s="25">
        <v>0</v>
      </c>
      <c r="V86" s="25" t="s">
        <v>22</v>
      </c>
      <c r="W86" s="25" t="s">
        <v>264</v>
      </c>
      <c r="X86" s="25" t="s">
        <v>524</v>
      </c>
    </row>
    <row r="87" spans="1:24">
      <c r="A87" s="25" t="s">
        <v>525</v>
      </c>
      <c r="B87" s="25" t="s">
        <v>526</v>
      </c>
      <c r="C87" s="25" t="s">
        <v>20</v>
      </c>
      <c r="D87" s="25" t="s">
        <v>21</v>
      </c>
      <c r="E87" s="25" t="s">
        <v>268</v>
      </c>
      <c r="F87" s="25" t="s">
        <v>23</v>
      </c>
      <c r="G87" s="25" t="s">
        <v>50</v>
      </c>
      <c r="H87" s="25" t="s">
        <v>197</v>
      </c>
      <c r="I87" s="25" t="s">
        <v>197</v>
      </c>
      <c r="J87" s="25">
        <v>43973</v>
      </c>
      <c r="K87" s="25" t="s">
        <v>527</v>
      </c>
      <c r="L87" s="25">
        <v>43973</v>
      </c>
      <c r="M87" s="25">
        <v>2020</v>
      </c>
      <c r="N87" s="25">
        <v>36</v>
      </c>
      <c r="O87" s="25">
        <v>44160</v>
      </c>
      <c r="P87" s="25">
        <v>2020</v>
      </c>
      <c r="Q87" s="25">
        <v>36</v>
      </c>
      <c r="R87" s="25">
        <v>13</v>
      </c>
      <c r="S87" s="25">
        <v>119</v>
      </c>
      <c r="T87" s="25">
        <v>119</v>
      </c>
      <c r="U87" s="25">
        <v>0</v>
      </c>
      <c r="V87" s="25" t="s">
        <v>22</v>
      </c>
      <c r="W87" s="25" t="s">
        <v>264</v>
      </c>
      <c r="X87" s="25">
        <v>0.30252100840336132</v>
      </c>
    </row>
    <row r="88" spans="1:24">
      <c r="A88" s="25" t="s">
        <v>528</v>
      </c>
      <c r="B88" s="25" t="s">
        <v>529</v>
      </c>
      <c r="C88" s="25" t="s">
        <v>20</v>
      </c>
      <c r="D88" s="25" t="s">
        <v>21</v>
      </c>
      <c r="E88" s="25" t="s">
        <v>268</v>
      </c>
      <c r="F88" s="25" t="s">
        <v>23</v>
      </c>
      <c r="G88" s="25" t="s">
        <v>50</v>
      </c>
      <c r="H88" s="25" t="s">
        <v>197</v>
      </c>
      <c r="I88" s="25" t="s">
        <v>197</v>
      </c>
      <c r="J88" s="25">
        <v>43985</v>
      </c>
      <c r="K88" s="25" t="s">
        <v>530</v>
      </c>
      <c r="L88" s="25">
        <v>43985</v>
      </c>
      <c r="M88" s="25">
        <v>2020</v>
      </c>
      <c r="N88" s="25">
        <v>18</v>
      </c>
      <c r="O88" s="25">
        <v>44033</v>
      </c>
      <c r="P88" s="25">
        <v>2020</v>
      </c>
      <c r="Q88" s="25">
        <v>18</v>
      </c>
      <c r="R88" s="25">
        <v>2</v>
      </c>
      <c r="S88" s="25">
        <v>28</v>
      </c>
      <c r="T88" s="25">
        <v>28</v>
      </c>
      <c r="U88" s="25">
        <v>0</v>
      </c>
      <c r="V88" s="25" t="s">
        <v>22</v>
      </c>
      <c r="W88" s="25" t="s">
        <v>264</v>
      </c>
      <c r="X88" s="25">
        <v>0.6428571428571429</v>
      </c>
    </row>
    <row r="89" spans="1:24">
      <c r="A89" s="25" t="s">
        <v>531</v>
      </c>
      <c r="B89" s="25" t="s">
        <v>532</v>
      </c>
      <c r="C89" s="25" t="s">
        <v>20</v>
      </c>
      <c r="D89" s="25" t="s">
        <v>21</v>
      </c>
      <c r="E89" s="25" t="s">
        <v>268</v>
      </c>
      <c r="F89" s="25" t="s">
        <v>23</v>
      </c>
      <c r="G89" s="25" t="s">
        <v>24</v>
      </c>
      <c r="H89" s="25" t="s">
        <v>196</v>
      </c>
      <c r="I89" s="25" t="s">
        <v>197</v>
      </c>
      <c r="J89" s="25">
        <v>43990</v>
      </c>
      <c r="K89" s="25" t="s">
        <v>533</v>
      </c>
      <c r="L89" s="25">
        <v>43990</v>
      </c>
      <c r="M89" s="25">
        <v>2020</v>
      </c>
      <c r="N89" s="25">
        <v>20</v>
      </c>
      <c r="O89" s="25">
        <v>44151</v>
      </c>
      <c r="P89" s="25">
        <v>2020</v>
      </c>
      <c r="Q89" s="25">
        <v>20</v>
      </c>
      <c r="R89" s="25">
        <v>2</v>
      </c>
      <c r="S89" s="25">
        <v>112</v>
      </c>
      <c r="T89" s="25">
        <v>112</v>
      </c>
      <c r="U89" s="25">
        <v>0</v>
      </c>
      <c r="V89" s="25" t="s">
        <v>22</v>
      </c>
      <c r="W89" s="25" t="s">
        <v>262</v>
      </c>
      <c r="X89" s="25">
        <v>0.17857142857142858</v>
      </c>
    </row>
    <row r="90" spans="1:24">
      <c r="A90" s="25" t="s">
        <v>534</v>
      </c>
      <c r="B90" s="25" t="s">
        <v>535</v>
      </c>
      <c r="C90" s="25" t="s">
        <v>20</v>
      </c>
      <c r="D90" s="25" t="s">
        <v>21</v>
      </c>
      <c r="E90" s="25" t="s">
        <v>268</v>
      </c>
      <c r="F90" s="25" t="s">
        <v>23</v>
      </c>
      <c r="G90" s="25" t="s">
        <v>50</v>
      </c>
      <c r="H90" s="25" t="s">
        <v>197</v>
      </c>
      <c r="I90" s="25" t="s">
        <v>197</v>
      </c>
      <c r="J90" s="25">
        <v>43994</v>
      </c>
      <c r="K90" s="25" t="s">
        <v>536</v>
      </c>
      <c r="L90" s="25">
        <v>43994</v>
      </c>
      <c r="M90" s="25">
        <v>2020</v>
      </c>
      <c r="N90" s="25">
        <v>6</v>
      </c>
      <c r="O90" s="25">
        <v>44064</v>
      </c>
      <c r="P90" s="25">
        <v>2020</v>
      </c>
      <c r="Q90" s="25">
        <v>6</v>
      </c>
      <c r="R90" s="25">
        <v>3</v>
      </c>
      <c r="S90" s="25">
        <v>50</v>
      </c>
      <c r="T90" s="25">
        <v>50</v>
      </c>
      <c r="U90" s="25">
        <v>0</v>
      </c>
      <c r="V90" s="25" t="s">
        <v>22</v>
      </c>
      <c r="W90" s="25" t="s">
        <v>264</v>
      </c>
      <c r="X90" s="25">
        <v>0.12</v>
      </c>
    </row>
    <row r="91" spans="1:24">
      <c r="A91" s="25" t="s">
        <v>537</v>
      </c>
      <c r="B91" s="25" t="s">
        <v>195</v>
      </c>
      <c r="C91" s="25" t="s">
        <v>20</v>
      </c>
      <c r="D91" s="25" t="s">
        <v>21</v>
      </c>
      <c r="E91" s="25" t="s">
        <v>268</v>
      </c>
      <c r="F91" s="25" t="s">
        <v>23</v>
      </c>
      <c r="G91" s="25" t="s">
        <v>50</v>
      </c>
      <c r="H91" s="25" t="s">
        <v>196</v>
      </c>
      <c r="I91" s="25" t="s">
        <v>197</v>
      </c>
      <c r="J91" s="25">
        <v>43998</v>
      </c>
      <c r="K91" s="25" t="s">
        <v>538</v>
      </c>
      <c r="L91" s="25">
        <v>43998</v>
      </c>
      <c r="M91" s="25">
        <v>2020</v>
      </c>
      <c r="N91" s="25">
        <v>35</v>
      </c>
      <c r="O91" s="25">
        <v>44015</v>
      </c>
      <c r="P91" s="25">
        <v>2020</v>
      </c>
      <c r="Q91" s="25">
        <v>35</v>
      </c>
      <c r="R91" s="25">
        <v>4</v>
      </c>
      <c r="S91" s="25">
        <v>13</v>
      </c>
      <c r="T91" s="25">
        <v>13</v>
      </c>
      <c r="U91" s="25">
        <v>0</v>
      </c>
      <c r="V91" s="25" t="s">
        <v>22</v>
      </c>
      <c r="W91" s="25" t="s">
        <v>262</v>
      </c>
      <c r="X91" s="25">
        <v>2.6923076923076925</v>
      </c>
    </row>
    <row r="92" spans="1:24">
      <c r="A92" s="25" t="s">
        <v>539</v>
      </c>
      <c r="B92" s="25" t="s">
        <v>540</v>
      </c>
      <c r="C92" s="25" t="s">
        <v>20</v>
      </c>
      <c r="D92" s="25" t="s">
        <v>21</v>
      </c>
      <c r="E92" s="25" t="s">
        <v>268</v>
      </c>
      <c r="F92" s="25" t="s">
        <v>23</v>
      </c>
      <c r="G92" s="25" t="s">
        <v>24</v>
      </c>
      <c r="H92" s="25" t="s">
        <v>429</v>
      </c>
      <c r="I92" s="25" t="s">
        <v>197</v>
      </c>
      <c r="J92" s="25">
        <v>44001</v>
      </c>
      <c r="K92" s="25" t="s">
        <v>541</v>
      </c>
      <c r="L92" s="25">
        <v>44001</v>
      </c>
      <c r="M92" s="25">
        <v>2020</v>
      </c>
      <c r="N92" s="25">
        <v>11</v>
      </c>
      <c r="O92" s="25">
        <v>44183</v>
      </c>
      <c r="P92" s="25">
        <v>2020</v>
      </c>
      <c r="Q92" s="25">
        <v>11</v>
      </c>
      <c r="R92" s="25">
        <v>3</v>
      </c>
      <c r="S92" s="25">
        <v>129</v>
      </c>
      <c r="T92" s="25">
        <v>129</v>
      </c>
      <c r="U92" s="25">
        <v>0</v>
      </c>
      <c r="V92" s="25" t="s">
        <v>22</v>
      </c>
      <c r="W92" s="25" t="s">
        <v>264</v>
      </c>
      <c r="X92" s="25">
        <v>8.5271317829457363E-2</v>
      </c>
    </row>
    <row r="93" spans="1:24">
      <c r="A93" s="25" t="s">
        <v>542</v>
      </c>
      <c r="B93" s="25" t="s">
        <v>543</v>
      </c>
      <c r="C93" s="25" t="s">
        <v>20</v>
      </c>
      <c r="D93" s="25" t="s">
        <v>21</v>
      </c>
      <c r="E93" s="25" t="s">
        <v>268</v>
      </c>
      <c r="F93" s="25" t="s">
        <v>23</v>
      </c>
      <c r="G93" s="25" t="s">
        <v>273</v>
      </c>
      <c r="H93" s="25" t="s">
        <v>197</v>
      </c>
      <c r="I93" s="25" t="s">
        <v>197</v>
      </c>
      <c r="J93" s="25">
        <v>44001</v>
      </c>
      <c r="K93" s="25" t="s">
        <v>544</v>
      </c>
      <c r="L93" s="25">
        <v>44001</v>
      </c>
      <c r="M93" s="25">
        <v>2020</v>
      </c>
      <c r="N93" s="25">
        <v>137</v>
      </c>
      <c r="O93" s="25">
        <v>44316</v>
      </c>
      <c r="P93" s="25">
        <v>2021</v>
      </c>
      <c r="Q93" s="25">
        <v>137</v>
      </c>
      <c r="R93" s="25">
        <v>65</v>
      </c>
      <c r="S93" s="25">
        <v>218</v>
      </c>
      <c r="T93" s="25">
        <v>218</v>
      </c>
      <c r="U93" s="25">
        <v>0</v>
      </c>
      <c r="V93" s="25" t="s">
        <v>22</v>
      </c>
      <c r="W93" s="25" t="s">
        <v>264</v>
      </c>
      <c r="X93" s="25">
        <v>0.62844036697247707</v>
      </c>
    </row>
    <row r="94" spans="1:24">
      <c r="A94" s="25" t="s">
        <v>545</v>
      </c>
      <c r="B94" s="25" t="s">
        <v>546</v>
      </c>
      <c r="C94" s="25" t="s">
        <v>20</v>
      </c>
      <c r="D94" s="25" t="s">
        <v>21</v>
      </c>
      <c r="E94" s="25" t="s">
        <v>268</v>
      </c>
      <c r="F94" s="25" t="s">
        <v>23</v>
      </c>
      <c r="G94" s="25" t="s">
        <v>273</v>
      </c>
      <c r="H94" s="25" t="s">
        <v>173</v>
      </c>
      <c r="I94" s="25" t="s">
        <v>173</v>
      </c>
      <c r="J94" s="25">
        <v>43973</v>
      </c>
      <c r="K94" s="25" t="s">
        <v>547</v>
      </c>
      <c r="L94" s="25">
        <v>43973</v>
      </c>
      <c r="M94" s="25">
        <v>2020</v>
      </c>
      <c r="N94" s="25">
        <v>61</v>
      </c>
      <c r="O94" s="25">
        <v>43987</v>
      </c>
      <c r="P94" s="25">
        <v>2020</v>
      </c>
      <c r="Q94" s="25">
        <v>61</v>
      </c>
      <c r="R94" s="25">
        <v>33</v>
      </c>
      <c r="S94" s="25">
        <v>11</v>
      </c>
      <c r="T94" s="25">
        <v>0</v>
      </c>
      <c r="U94" s="25">
        <v>0</v>
      </c>
      <c r="V94" s="25" t="s">
        <v>22</v>
      </c>
      <c r="W94" s="25" t="s">
        <v>263</v>
      </c>
      <c r="X94" s="25" t="s">
        <v>524</v>
      </c>
    </row>
    <row r="95" spans="1:24">
      <c r="A95" s="25" t="s">
        <v>548</v>
      </c>
      <c r="B95" s="25" t="s">
        <v>172</v>
      </c>
      <c r="C95" s="25" t="s">
        <v>20</v>
      </c>
      <c r="D95" s="25" t="s">
        <v>21</v>
      </c>
      <c r="E95" s="25" t="s">
        <v>268</v>
      </c>
      <c r="F95" s="25" t="s">
        <v>23</v>
      </c>
      <c r="G95" s="25" t="s">
        <v>50</v>
      </c>
      <c r="H95" s="25" t="s">
        <v>173</v>
      </c>
      <c r="I95" s="25" t="s">
        <v>173</v>
      </c>
      <c r="J95" s="25">
        <v>43973</v>
      </c>
      <c r="K95" s="25" t="s">
        <v>549</v>
      </c>
      <c r="L95" s="25">
        <v>43973</v>
      </c>
      <c r="M95" s="25">
        <v>2020</v>
      </c>
      <c r="N95" s="25">
        <v>28</v>
      </c>
      <c r="O95" s="25">
        <v>44140</v>
      </c>
      <c r="P95" s="25">
        <v>2020</v>
      </c>
      <c r="Q95" s="25">
        <v>28</v>
      </c>
      <c r="R95" s="25">
        <v>7</v>
      </c>
      <c r="S95" s="25">
        <v>105</v>
      </c>
      <c r="T95" s="25">
        <v>105</v>
      </c>
      <c r="U95" s="25">
        <v>0</v>
      </c>
      <c r="V95" s="25" t="s">
        <v>22</v>
      </c>
      <c r="W95" s="25" t="s">
        <v>263</v>
      </c>
      <c r="X95" s="25">
        <v>0.26666666666666666</v>
      </c>
    </row>
    <row r="96" spans="1:24">
      <c r="A96" s="25" t="s">
        <v>550</v>
      </c>
      <c r="B96" s="25" t="s">
        <v>551</v>
      </c>
      <c r="C96" s="25" t="s">
        <v>20</v>
      </c>
      <c r="D96" s="25" t="s">
        <v>21</v>
      </c>
      <c r="E96" s="25" t="s">
        <v>268</v>
      </c>
      <c r="F96" s="25" t="s">
        <v>23</v>
      </c>
      <c r="G96" s="25" t="s">
        <v>50</v>
      </c>
      <c r="H96" s="25" t="s">
        <v>173</v>
      </c>
      <c r="I96" s="25" t="s">
        <v>173</v>
      </c>
      <c r="J96" s="25">
        <v>43980</v>
      </c>
      <c r="K96" s="25" t="s">
        <v>552</v>
      </c>
      <c r="L96" s="25">
        <v>43980</v>
      </c>
      <c r="M96" s="25">
        <v>2020</v>
      </c>
      <c r="N96" s="25">
        <v>9</v>
      </c>
      <c r="O96" s="25">
        <v>43987</v>
      </c>
      <c r="P96" s="25">
        <v>2020</v>
      </c>
      <c r="Q96" s="25">
        <v>9</v>
      </c>
      <c r="R96" s="25">
        <v>3</v>
      </c>
      <c r="S96" s="25">
        <v>6</v>
      </c>
      <c r="T96" s="25">
        <v>0</v>
      </c>
      <c r="U96" s="25">
        <v>0</v>
      </c>
      <c r="V96" s="25" t="s">
        <v>22</v>
      </c>
      <c r="W96" s="25" t="s">
        <v>263</v>
      </c>
      <c r="X96" s="25" t="s">
        <v>524</v>
      </c>
    </row>
    <row r="97" spans="1:24">
      <c r="A97" s="25" t="s">
        <v>553</v>
      </c>
      <c r="B97" s="25" t="s">
        <v>181</v>
      </c>
      <c r="C97" s="25" t="s">
        <v>20</v>
      </c>
      <c r="D97" s="25" t="s">
        <v>21</v>
      </c>
      <c r="E97" s="25" t="s">
        <v>268</v>
      </c>
      <c r="F97" s="25" t="s">
        <v>23</v>
      </c>
      <c r="G97" s="25" t="s">
        <v>50</v>
      </c>
      <c r="H97" s="25" t="s">
        <v>173</v>
      </c>
      <c r="I97" s="25" t="s">
        <v>173</v>
      </c>
      <c r="J97" s="25">
        <v>43984</v>
      </c>
      <c r="K97" s="25" t="s">
        <v>554</v>
      </c>
      <c r="L97" s="25">
        <v>43990</v>
      </c>
      <c r="M97" s="25">
        <v>2020</v>
      </c>
      <c r="N97" s="25">
        <v>30</v>
      </c>
      <c r="O97" s="25">
        <v>44008</v>
      </c>
      <c r="P97" s="25">
        <v>2020</v>
      </c>
      <c r="Q97" s="25">
        <v>30</v>
      </c>
      <c r="R97" s="25">
        <v>4</v>
      </c>
      <c r="S97" s="25">
        <v>12</v>
      </c>
      <c r="T97" s="25">
        <v>12</v>
      </c>
      <c r="U97" s="25">
        <v>0</v>
      </c>
      <c r="V97" s="25" t="s">
        <v>22</v>
      </c>
      <c r="W97" s="25" t="s">
        <v>263</v>
      </c>
      <c r="X97" s="25">
        <v>2.5</v>
      </c>
    </row>
    <row r="98" spans="1:24">
      <c r="A98" s="25" t="s">
        <v>555</v>
      </c>
      <c r="B98" s="25" t="s">
        <v>556</v>
      </c>
      <c r="C98" s="25" t="s">
        <v>20</v>
      </c>
      <c r="D98" s="25" t="s">
        <v>21</v>
      </c>
      <c r="E98" s="25" t="s">
        <v>268</v>
      </c>
      <c r="F98" s="25" t="s">
        <v>23</v>
      </c>
      <c r="G98" s="25" t="s">
        <v>273</v>
      </c>
      <c r="H98" s="25" t="s">
        <v>173</v>
      </c>
      <c r="I98" s="25" t="s">
        <v>173</v>
      </c>
      <c r="J98" s="25">
        <v>43990</v>
      </c>
      <c r="K98" s="25" t="s">
        <v>557</v>
      </c>
      <c r="L98" s="25">
        <v>43990</v>
      </c>
      <c r="M98" s="25">
        <v>2020</v>
      </c>
      <c r="N98" s="25">
        <v>57</v>
      </c>
      <c r="O98" s="25">
        <v>44140</v>
      </c>
      <c r="P98" s="25">
        <v>2020</v>
      </c>
      <c r="Q98" s="25">
        <v>57</v>
      </c>
      <c r="R98" s="25">
        <v>40</v>
      </c>
      <c r="S98" s="25">
        <v>105</v>
      </c>
      <c r="T98" s="25">
        <v>105</v>
      </c>
      <c r="U98" s="25">
        <v>0</v>
      </c>
      <c r="V98" s="25" t="s">
        <v>22</v>
      </c>
      <c r="W98" s="25" t="s">
        <v>263</v>
      </c>
      <c r="X98" s="25">
        <v>0.54285714285714282</v>
      </c>
    </row>
    <row r="99" spans="1:24">
      <c r="A99" s="25" t="s">
        <v>558</v>
      </c>
      <c r="B99" s="25" t="s">
        <v>559</v>
      </c>
      <c r="C99" s="25" t="s">
        <v>20</v>
      </c>
      <c r="D99" s="25" t="s">
        <v>21</v>
      </c>
      <c r="E99" s="25" t="s">
        <v>268</v>
      </c>
      <c r="F99" s="25" t="s">
        <v>23</v>
      </c>
      <c r="G99" s="25" t="s">
        <v>50</v>
      </c>
      <c r="H99" s="25" t="s">
        <v>429</v>
      </c>
      <c r="I99" s="25" t="s">
        <v>197</v>
      </c>
      <c r="J99" s="25">
        <v>44015</v>
      </c>
      <c r="K99" s="25" t="s">
        <v>560</v>
      </c>
      <c r="L99" s="25">
        <v>44015</v>
      </c>
      <c r="M99" s="25">
        <v>2020</v>
      </c>
      <c r="N99" s="25">
        <v>38</v>
      </c>
      <c r="O99" s="25">
        <v>44057</v>
      </c>
      <c r="P99" s="25">
        <v>2020</v>
      </c>
      <c r="Q99" s="25">
        <v>38</v>
      </c>
      <c r="R99" s="25">
        <v>5</v>
      </c>
      <c r="S99" s="25">
        <v>31</v>
      </c>
      <c r="T99" s="25">
        <v>31</v>
      </c>
      <c r="U99" s="25">
        <v>0</v>
      </c>
      <c r="V99" s="25" t="s">
        <v>22</v>
      </c>
      <c r="W99" s="25" t="s">
        <v>264</v>
      </c>
      <c r="X99" s="25">
        <v>1.2258064516129032</v>
      </c>
    </row>
    <row r="100" spans="1:24">
      <c r="A100" s="25" t="s">
        <v>561</v>
      </c>
      <c r="B100" s="25" t="s">
        <v>562</v>
      </c>
      <c r="C100" s="25" t="s">
        <v>20</v>
      </c>
      <c r="D100" s="25" t="s">
        <v>21</v>
      </c>
      <c r="E100" s="25" t="s">
        <v>268</v>
      </c>
      <c r="F100" s="25" t="s">
        <v>23</v>
      </c>
      <c r="G100" s="25" t="s">
        <v>273</v>
      </c>
      <c r="H100" s="25" t="s">
        <v>173</v>
      </c>
      <c r="I100" s="25" t="s">
        <v>173</v>
      </c>
      <c r="J100" s="25">
        <v>44043</v>
      </c>
      <c r="K100" s="25" t="s">
        <v>563</v>
      </c>
      <c r="L100" s="25">
        <v>44046</v>
      </c>
      <c r="M100" s="25">
        <v>2020</v>
      </c>
      <c r="N100" s="25">
        <v>181</v>
      </c>
      <c r="O100" s="25">
        <v>44316</v>
      </c>
      <c r="P100" s="25">
        <v>2021</v>
      </c>
      <c r="Q100" s="25">
        <v>181</v>
      </c>
      <c r="R100" s="25">
        <v>72</v>
      </c>
      <c r="S100" s="25">
        <v>188</v>
      </c>
      <c r="T100" s="25">
        <v>188</v>
      </c>
      <c r="U100" s="25">
        <v>0</v>
      </c>
      <c r="V100" s="25" t="s">
        <v>22</v>
      </c>
      <c r="W100" s="25" t="s">
        <v>263</v>
      </c>
      <c r="X100" s="25">
        <v>0.96276595744680848</v>
      </c>
    </row>
    <row r="101" spans="1:24">
      <c r="A101" s="25" t="s">
        <v>564</v>
      </c>
      <c r="B101" s="25" t="s">
        <v>565</v>
      </c>
      <c r="C101" s="25" t="s">
        <v>20</v>
      </c>
      <c r="D101" s="25" t="s">
        <v>21</v>
      </c>
      <c r="E101" s="25" t="s">
        <v>268</v>
      </c>
      <c r="F101" s="25" t="s">
        <v>23</v>
      </c>
      <c r="G101" s="25" t="s">
        <v>24</v>
      </c>
      <c r="H101" s="25" t="s">
        <v>197</v>
      </c>
      <c r="I101" s="25" t="s">
        <v>197</v>
      </c>
      <c r="J101" s="25">
        <v>44070</v>
      </c>
      <c r="K101" s="25" t="s">
        <v>566</v>
      </c>
      <c r="L101" s="25">
        <v>44071</v>
      </c>
      <c r="M101" s="25">
        <v>2020</v>
      </c>
      <c r="N101" s="25">
        <v>32</v>
      </c>
      <c r="O101" s="25">
        <v>44102</v>
      </c>
      <c r="P101" s="25">
        <v>2020</v>
      </c>
      <c r="Q101" s="25">
        <v>32</v>
      </c>
      <c r="R101" s="25">
        <v>2</v>
      </c>
      <c r="S101" s="25">
        <v>22</v>
      </c>
      <c r="T101" s="25">
        <v>22</v>
      </c>
      <c r="U101" s="25">
        <v>0</v>
      </c>
      <c r="V101" s="25" t="s">
        <v>22</v>
      </c>
      <c r="W101" s="25" t="s">
        <v>264</v>
      </c>
      <c r="X101" s="25">
        <v>1.4545454545454546</v>
      </c>
    </row>
    <row r="102" spans="1:24">
      <c r="A102" s="25" t="s">
        <v>567</v>
      </c>
      <c r="B102" s="25" t="s">
        <v>568</v>
      </c>
      <c r="C102" s="25" t="s">
        <v>20</v>
      </c>
      <c r="D102" s="25" t="s">
        <v>21</v>
      </c>
      <c r="E102" s="25" t="s">
        <v>268</v>
      </c>
      <c r="F102" s="25" t="s">
        <v>23</v>
      </c>
      <c r="G102" s="25" t="s">
        <v>24</v>
      </c>
      <c r="H102" s="25" t="s">
        <v>196</v>
      </c>
      <c r="I102" s="25" t="s">
        <v>197</v>
      </c>
      <c r="J102" s="25">
        <v>44071</v>
      </c>
      <c r="K102" s="25" t="s">
        <v>569</v>
      </c>
      <c r="L102" s="25">
        <v>44071</v>
      </c>
      <c r="M102" s="25">
        <v>2020</v>
      </c>
      <c r="N102" s="25">
        <v>15</v>
      </c>
      <c r="O102" s="25">
        <v>44132</v>
      </c>
      <c r="P102" s="25">
        <v>2020</v>
      </c>
      <c r="Q102" s="25">
        <v>15</v>
      </c>
      <c r="R102" s="25">
        <v>2</v>
      </c>
      <c r="S102" s="25">
        <v>44</v>
      </c>
      <c r="T102" s="25">
        <v>44</v>
      </c>
      <c r="U102" s="25">
        <v>0</v>
      </c>
      <c r="V102" s="25" t="s">
        <v>22</v>
      </c>
      <c r="W102" s="25" t="s">
        <v>262</v>
      </c>
      <c r="X102" s="25">
        <v>0.34090909090909088</v>
      </c>
    </row>
    <row r="103" spans="1:24">
      <c r="A103" s="25" t="s">
        <v>570</v>
      </c>
      <c r="B103" s="25" t="s">
        <v>571</v>
      </c>
      <c r="C103" s="25" t="s">
        <v>20</v>
      </c>
      <c r="D103" s="25" t="s">
        <v>21</v>
      </c>
      <c r="E103" s="25" t="s">
        <v>268</v>
      </c>
      <c r="F103" s="25" t="s">
        <v>23</v>
      </c>
      <c r="G103" s="25" t="s">
        <v>273</v>
      </c>
      <c r="H103" s="25" t="s">
        <v>486</v>
      </c>
      <c r="I103" s="25" t="s">
        <v>197</v>
      </c>
      <c r="J103" s="25">
        <v>44070</v>
      </c>
      <c r="K103" s="25" t="s">
        <v>572</v>
      </c>
      <c r="L103" s="25">
        <v>44076</v>
      </c>
      <c r="M103" s="25">
        <v>2020</v>
      </c>
      <c r="N103" s="25">
        <v>278</v>
      </c>
      <c r="O103" s="25">
        <v>44181</v>
      </c>
      <c r="P103" s="25">
        <v>2020</v>
      </c>
      <c r="Q103" s="25">
        <v>278</v>
      </c>
      <c r="R103" s="25">
        <v>110</v>
      </c>
      <c r="S103" s="25">
        <v>75</v>
      </c>
      <c r="T103" s="25">
        <v>75</v>
      </c>
      <c r="U103" s="25">
        <v>0</v>
      </c>
      <c r="V103" s="25" t="s">
        <v>22</v>
      </c>
      <c r="W103" s="25" t="s">
        <v>261</v>
      </c>
      <c r="X103" s="25">
        <v>3.7066666666666666</v>
      </c>
    </row>
    <row r="104" spans="1:24">
      <c r="A104" s="25" t="s">
        <v>573</v>
      </c>
      <c r="B104" s="25" t="s">
        <v>574</v>
      </c>
      <c r="C104" s="25" t="s">
        <v>20</v>
      </c>
      <c r="D104" s="25" t="s">
        <v>21</v>
      </c>
      <c r="E104" s="25" t="s">
        <v>268</v>
      </c>
      <c r="F104" s="25" t="s">
        <v>23</v>
      </c>
      <c r="G104" s="25" t="s">
        <v>24</v>
      </c>
      <c r="H104" s="25" t="s">
        <v>486</v>
      </c>
      <c r="I104" s="25" t="s">
        <v>197</v>
      </c>
      <c r="J104" s="25">
        <v>44146</v>
      </c>
      <c r="K104" s="25" t="s">
        <v>575</v>
      </c>
      <c r="L104" s="25">
        <v>44146</v>
      </c>
      <c r="M104" s="25">
        <v>2020</v>
      </c>
      <c r="N104" s="25">
        <v>4</v>
      </c>
      <c r="O104" s="25">
        <v>44692</v>
      </c>
      <c r="P104" s="25">
        <v>2022</v>
      </c>
      <c r="Q104" s="25">
        <v>4</v>
      </c>
      <c r="R104" s="25">
        <v>3</v>
      </c>
      <c r="S104" s="25">
        <v>369</v>
      </c>
      <c r="T104" s="25">
        <v>369</v>
      </c>
      <c r="U104" s="25">
        <v>0</v>
      </c>
      <c r="V104" s="25" t="s">
        <v>22</v>
      </c>
      <c r="W104" s="25" t="s">
        <v>261</v>
      </c>
      <c r="X104" s="25">
        <v>1.0840108401084011E-2</v>
      </c>
    </row>
    <row r="105" spans="1:24">
      <c r="A105" s="25" t="s">
        <v>576</v>
      </c>
      <c r="B105" s="25" t="s">
        <v>577</v>
      </c>
      <c r="C105" s="25" t="s">
        <v>20</v>
      </c>
      <c r="D105" s="25" t="s">
        <v>21</v>
      </c>
      <c r="E105" s="25" t="s">
        <v>268</v>
      </c>
      <c r="F105" s="25" t="s">
        <v>23</v>
      </c>
      <c r="G105" s="25" t="s">
        <v>81</v>
      </c>
      <c r="H105" s="25" t="s">
        <v>197</v>
      </c>
      <c r="I105" s="25" t="s">
        <v>197</v>
      </c>
      <c r="J105" s="25">
        <v>44146</v>
      </c>
      <c r="K105" s="25" t="s">
        <v>578</v>
      </c>
      <c r="L105" s="25">
        <v>44146</v>
      </c>
      <c r="M105" s="25">
        <v>2020</v>
      </c>
      <c r="N105" s="25">
        <v>15</v>
      </c>
      <c r="O105" s="25">
        <v>44158</v>
      </c>
      <c r="P105" s="25">
        <v>2020</v>
      </c>
      <c r="Q105" s="25">
        <v>15</v>
      </c>
      <c r="R105" s="25">
        <v>3</v>
      </c>
      <c r="S105" s="25">
        <v>9</v>
      </c>
      <c r="T105" s="25">
        <v>9</v>
      </c>
      <c r="U105" s="25">
        <v>0</v>
      </c>
      <c r="V105" s="25" t="s">
        <v>22</v>
      </c>
      <c r="W105" s="25" t="s">
        <v>264</v>
      </c>
      <c r="X105" s="25">
        <v>1.6666666666666667</v>
      </c>
    </row>
    <row r="106" spans="1:24">
      <c r="A106" s="25" t="s">
        <v>579</v>
      </c>
      <c r="B106" s="25" t="s">
        <v>189</v>
      </c>
      <c r="C106" s="25" t="s">
        <v>20</v>
      </c>
      <c r="D106" s="25" t="s">
        <v>21</v>
      </c>
      <c r="E106" s="25" t="s">
        <v>268</v>
      </c>
      <c r="F106" s="25" t="s">
        <v>23</v>
      </c>
      <c r="G106" s="25" t="s">
        <v>81</v>
      </c>
      <c r="H106" s="25" t="s">
        <v>173</v>
      </c>
      <c r="I106" s="25" t="s">
        <v>173</v>
      </c>
      <c r="J106" s="25">
        <v>44154</v>
      </c>
      <c r="K106" s="25" t="s">
        <v>580</v>
      </c>
      <c r="L106" s="25">
        <v>44154</v>
      </c>
      <c r="M106" s="25">
        <v>2020</v>
      </c>
      <c r="N106" s="25">
        <v>5</v>
      </c>
      <c r="O106" s="25">
        <v>44355</v>
      </c>
      <c r="P106" s="25">
        <v>2021</v>
      </c>
      <c r="Q106" s="25">
        <v>5</v>
      </c>
      <c r="R106" s="25">
        <v>1</v>
      </c>
      <c r="S106" s="25">
        <v>137</v>
      </c>
      <c r="T106" s="25">
        <v>137</v>
      </c>
      <c r="U106" s="25">
        <v>0</v>
      </c>
      <c r="V106" s="25" t="s">
        <v>22</v>
      </c>
      <c r="W106" s="25" t="s">
        <v>263</v>
      </c>
      <c r="X106" s="25">
        <v>3.6496350364963501E-2</v>
      </c>
    </row>
    <row r="107" spans="1:24">
      <c r="A107" s="25" t="s">
        <v>581</v>
      </c>
      <c r="B107" s="25" t="s">
        <v>582</v>
      </c>
      <c r="C107" s="25" t="s">
        <v>20</v>
      </c>
      <c r="D107" s="25" t="s">
        <v>21</v>
      </c>
      <c r="E107" s="25" t="s">
        <v>268</v>
      </c>
      <c r="F107" s="25" t="s">
        <v>23</v>
      </c>
      <c r="G107" s="25" t="s">
        <v>81</v>
      </c>
      <c r="H107" s="25" t="s">
        <v>196</v>
      </c>
      <c r="I107" s="25" t="s">
        <v>197</v>
      </c>
      <c r="J107" s="25">
        <v>44154</v>
      </c>
      <c r="K107" s="25" t="s">
        <v>583</v>
      </c>
      <c r="L107" s="25">
        <v>44154</v>
      </c>
      <c r="M107" s="25">
        <v>2020</v>
      </c>
      <c r="N107" s="25">
        <v>12</v>
      </c>
      <c r="O107" s="25">
        <v>44344</v>
      </c>
      <c r="P107" s="25">
        <v>2021</v>
      </c>
      <c r="Q107" s="25">
        <v>12</v>
      </c>
      <c r="R107" s="25">
        <v>1</v>
      </c>
      <c r="S107" s="25">
        <v>130</v>
      </c>
      <c r="T107" s="25">
        <v>130</v>
      </c>
      <c r="U107" s="25">
        <v>0</v>
      </c>
      <c r="V107" s="25" t="s">
        <v>22</v>
      </c>
      <c r="W107" s="25" t="s">
        <v>262</v>
      </c>
      <c r="X107" s="25">
        <v>9.2307692307692313E-2</v>
      </c>
    </row>
    <row r="108" spans="1:24">
      <c r="A108" s="25" t="s">
        <v>584</v>
      </c>
      <c r="B108" s="25" t="s">
        <v>585</v>
      </c>
      <c r="C108" s="25" t="s">
        <v>20</v>
      </c>
      <c r="D108" s="25" t="s">
        <v>21</v>
      </c>
      <c r="E108" s="25" t="s">
        <v>268</v>
      </c>
      <c r="F108" s="25" t="s">
        <v>23</v>
      </c>
      <c r="G108" s="25" t="s">
        <v>81</v>
      </c>
      <c r="H108" s="25" t="s">
        <v>429</v>
      </c>
      <c r="I108" s="25" t="s">
        <v>197</v>
      </c>
      <c r="J108" s="25">
        <v>44155</v>
      </c>
      <c r="K108" s="25" t="s">
        <v>586</v>
      </c>
      <c r="L108" s="25">
        <v>44158</v>
      </c>
      <c r="M108" s="25">
        <v>2020</v>
      </c>
      <c r="N108" s="25">
        <v>7</v>
      </c>
      <c r="O108" s="25">
        <v>44663</v>
      </c>
      <c r="P108" s="25">
        <v>2022</v>
      </c>
      <c r="Q108" s="25">
        <v>7</v>
      </c>
      <c r="R108" s="25">
        <v>1</v>
      </c>
      <c r="S108" s="25">
        <v>273</v>
      </c>
      <c r="T108" s="25">
        <v>343</v>
      </c>
      <c r="U108" s="25">
        <v>0</v>
      </c>
      <c r="V108" s="25" t="s">
        <v>22</v>
      </c>
      <c r="W108" s="25" t="s">
        <v>264</v>
      </c>
      <c r="X108" s="25">
        <v>2.0408163265306121E-2</v>
      </c>
    </row>
    <row r="109" spans="1:24">
      <c r="A109" s="25" t="s">
        <v>587</v>
      </c>
      <c r="B109" s="25" t="s">
        <v>588</v>
      </c>
      <c r="C109" s="25" t="s">
        <v>20</v>
      </c>
      <c r="D109" s="25" t="s">
        <v>21</v>
      </c>
      <c r="E109" s="25" t="s">
        <v>268</v>
      </c>
      <c r="F109" s="25" t="s">
        <v>23</v>
      </c>
      <c r="G109" s="25" t="s">
        <v>81</v>
      </c>
      <c r="H109" s="25" t="s">
        <v>197</v>
      </c>
      <c r="I109" s="25" t="s">
        <v>197</v>
      </c>
      <c r="J109" s="25">
        <v>44155</v>
      </c>
      <c r="K109" s="25" t="s">
        <v>589</v>
      </c>
      <c r="L109" s="25">
        <v>44158</v>
      </c>
      <c r="M109" s="25">
        <v>2020</v>
      </c>
      <c r="N109" s="25">
        <v>7</v>
      </c>
      <c r="O109" s="25">
        <v>44193</v>
      </c>
      <c r="P109" s="25">
        <v>2020</v>
      </c>
      <c r="Q109" s="25">
        <v>7</v>
      </c>
      <c r="R109" s="25">
        <v>1</v>
      </c>
      <c r="S109" s="25">
        <v>23</v>
      </c>
      <c r="T109" s="25">
        <v>23</v>
      </c>
      <c r="U109" s="25">
        <v>0</v>
      </c>
      <c r="V109" s="25" t="s">
        <v>22</v>
      </c>
      <c r="W109" s="25" t="s">
        <v>264</v>
      </c>
      <c r="X109" s="25">
        <v>0.30434782608695654</v>
      </c>
    </row>
    <row r="110" spans="1:24">
      <c r="A110" s="25" t="s">
        <v>590</v>
      </c>
      <c r="B110" s="25" t="s">
        <v>591</v>
      </c>
      <c r="C110" s="25" t="s">
        <v>20</v>
      </c>
      <c r="D110" s="25" t="s">
        <v>21</v>
      </c>
      <c r="E110" s="25" t="s">
        <v>268</v>
      </c>
      <c r="F110" s="25" t="s">
        <v>23</v>
      </c>
      <c r="G110" s="25" t="s">
        <v>81</v>
      </c>
      <c r="H110" s="25" t="s">
        <v>173</v>
      </c>
      <c r="I110" s="25" t="s">
        <v>173</v>
      </c>
      <c r="J110" s="25">
        <v>44155</v>
      </c>
      <c r="K110" s="25" t="s">
        <v>592</v>
      </c>
      <c r="L110" s="25">
        <v>44158</v>
      </c>
      <c r="M110" s="25">
        <v>2020</v>
      </c>
      <c r="N110" s="25">
        <v>9</v>
      </c>
      <c r="O110" s="25">
        <v>44172</v>
      </c>
      <c r="P110" s="25">
        <v>2020</v>
      </c>
      <c r="Q110" s="25">
        <v>9</v>
      </c>
      <c r="R110" s="25">
        <v>1</v>
      </c>
      <c r="S110" s="25">
        <v>11</v>
      </c>
      <c r="T110" s="25">
        <v>11</v>
      </c>
      <c r="U110" s="25">
        <v>0</v>
      </c>
      <c r="V110" s="25" t="s">
        <v>22</v>
      </c>
      <c r="W110" s="25" t="s">
        <v>263</v>
      </c>
      <c r="X110" s="25">
        <v>0.81818181818181823</v>
      </c>
    </row>
    <row r="111" spans="1:24">
      <c r="A111" s="25" t="s">
        <v>593</v>
      </c>
      <c r="B111" s="25" t="s">
        <v>594</v>
      </c>
      <c r="C111" s="25" t="s">
        <v>20</v>
      </c>
      <c r="D111" s="25" t="s">
        <v>21</v>
      </c>
      <c r="E111" s="25" t="s">
        <v>268</v>
      </c>
      <c r="F111" s="25" t="s">
        <v>23</v>
      </c>
      <c r="G111" s="25" t="s">
        <v>81</v>
      </c>
      <c r="H111" s="25" t="s">
        <v>486</v>
      </c>
      <c r="I111" s="25" t="s">
        <v>197</v>
      </c>
      <c r="J111" s="25">
        <v>44160</v>
      </c>
      <c r="K111" s="25" t="s">
        <v>595</v>
      </c>
      <c r="L111" s="25">
        <v>44160</v>
      </c>
      <c r="M111" s="25">
        <v>2020</v>
      </c>
      <c r="N111" s="25">
        <v>11</v>
      </c>
      <c r="O111" s="25">
        <v>44385</v>
      </c>
      <c r="P111" s="25">
        <v>2021</v>
      </c>
      <c r="Q111" s="25">
        <v>11</v>
      </c>
      <c r="R111" s="25">
        <v>1</v>
      </c>
      <c r="S111" s="25">
        <v>154</v>
      </c>
      <c r="T111" s="25">
        <v>154</v>
      </c>
      <c r="U111" s="25">
        <v>0</v>
      </c>
      <c r="V111" s="25" t="s">
        <v>22</v>
      </c>
      <c r="W111" s="25" t="s">
        <v>261</v>
      </c>
      <c r="X111" s="25">
        <v>7.1428571428571425E-2</v>
      </c>
    </row>
    <row r="112" spans="1:24">
      <c r="A112" s="25" t="s">
        <v>596</v>
      </c>
      <c r="B112" s="25" t="s">
        <v>597</v>
      </c>
      <c r="C112" s="25" t="s">
        <v>20</v>
      </c>
      <c r="D112" s="25" t="s">
        <v>21</v>
      </c>
      <c r="E112" s="25" t="s">
        <v>268</v>
      </c>
      <c r="F112" s="25" t="s">
        <v>23</v>
      </c>
      <c r="G112" s="25" t="s">
        <v>273</v>
      </c>
      <c r="H112" s="25" t="s">
        <v>197</v>
      </c>
      <c r="I112" s="25" t="s">
        <v>197</v>
      </c>
      <c r="J112" s="25">
        <v>44169</v>
      </c>
      <c r="K112" s="25" t="s">
        <v>598</v>
      </c>
      <c r="L112" s="25">
        <v>44172</v>
      </c>
      <c r="M112" s="25">
        <v>2020</v>
      </c>
      <c r="N112" s="25">
        <v>251</v>
      </c>
      <c r="O112" s="25">
        <v>44337</v>
      </c>
      <c r="P112" s="25">
        <v>2021</v>
      </c>
      <c r="Q112" s="25">
        <v>251</v>
      </c>
      <c r="R112" s="25">
        <v>96</v>
      </c>
      <c r="S112" s="25">
        <v>113</v>
      </c>
      <c r="T112" s="25">
        <v>113</v>
      </c>
      <c r="U112" s="25">
        <v>0</v>
      </c>
      <c r="V112" s="25" t="s">
        <v>22</v>
      </c>
      <c r="W112" s="25" t="s">
        <v>264</v>
      </c>
      <c r="X112" s="25">
        <v>2.2212389380530975</v>
      </c>
    </row>
    <row r="113" spans="1:24">
      <c r="A113" s="25" t="s">
        <v>599</v>
      </c>
      <c r="B113" s="25" t="s">
        <v>447</v>
      </c>
      <c r="C113" s="25" t="s">
        <v>20</v>
      </c>
      <c r="D113" s="25" t="s">
        <v>21</v>
      </c>
      <c r="E113" s="25" t="s">
        <v>268</v>
      </c>
      <c r="F113" s="25" t="s">
        <v>600</v>
      </c>
      <c r="G113" s="25" t="s">
        <v>24</v>
      </c>
      <c r="H113" s="25" t="s">
        <v>173</v>
      </c>
      <c r="I113" s="25" t="s">
        <v>173</v>
      </c>
      <c r="J113" s="25">
        <v>44167</v>
      </c>
      <c r="K113" s="25" t="s">
        <v>601</v>
      </c>
      <c r="L113" s="25">
        <v>44168</v>
      </c>
      <c r="M113" s="25">
        <v>2020</v>
      </c>
      <c r="N113" s="25">
        <v>16</v>
      </c>
      <c r="O113" s="25">
        <v>44242</v>
      </c>
      <c r="P113" s="25">
        <v>2021</v>
      </c>
      <c r="Q113" s="25">
        <v>16</v>
      </c>
      <c r="R113" s="25">
        <v>9</v>
      </c>
      <c r="S113" s="25">
        <v>48</v>
      </c>
      <c r="T113" s="25">
        <v>48</v>
      </c>
      <c r="U113" s="25">
        <v>0</v>
      </c>
      <c r="V113" s="25" t="s">
        <v>22</v>
      </c>
      <c r="W113" s="25" t="s">
        <v>263</v>
      </c>
      <c r="X113" s="25">
        <v>0.33333333333333331</v>
      </c>
    </row>
    <row r="114" spans="1:24">
      <c r="A114" s="25" t="s">
        <v>602</v>
      </c>
      <c r="B114" s="25" t="s">
        <v>603</v>
      </c>
      <c r="C114" s="25" t="s">
        <v>20</v>
      </c>
      <c r="D114" s="25" t="s">
        <v>21</v>
      </c>
      <c r="E114" s="25" t="s">
        <v>268</v>
      </c>
      <c r="F114" s="25" t="s">
        <v>600</v>
      </c>
      <c r="G114" s="25" t="s">
        <v>24</v>
      </c>
      <c r="H114" s="25" t="s">
        <v>197</v>
      </c>
      <c r="I114" s="25" t="s">
        <v>197</v>
      </c>
      <c r="J114" s="25">
        <v>44217</v>
      </c>
      <c r="K114" s="25" t="s">
        <v>604</v>
      </c>
      <c r="L114" s="25">
        <v>44217</v>
      </c>
      <c r="M114" s="25">
        <v>2021</v>
      </c>
      <c r="N114" s="25">
        <v>18</v>
      </c>
      <c r="O114" s="25">
        <v>44231</v>
      </c>
      <c r="P114" s="25">
        <v>2021</v>
      </c>
      <c r="Q114" s="25">
        <v>18</v>
      </c>
      <c r="R114" s="25">
        <v>5</v>
      </c>
      <c r="S114" s="25">
        <v>11</v>
      </c>
      <c r="T114" s="25">
        <v>11</v>
      </c>
      <c r="U114" s="25">
        <v>0</v>
      </c>
      <c r="V114" s="25" t="s">
        <v>22</v>
      </c>
      <c r="W114" s="25" t="s">
        <v>264</v>
      </c>
      <c r="X114" s="25">
        <v>1.6363636363636365</v>
      </c>
    </row>
    <row r="115" spans="1:24">
      <c r="A115" s="25" t="s">
        <v>605</v>
      </c>
      <c r="B115" s="25" t="s">
        <v>529</v>
      </c>
      <c r="C115" s="25" t="s">
        <v>20</v>
      </c>
      <c r="D115" s="25" t="s">
        <v>21</v>
      </c>
      <c r="E115" s="25" t="s">
        <v>268</v>
      </c>
      <c r="F115" s="25" t="s">
        <v>600</v>
      </c>
      <c r="G115" s="25" t="s">
        <v>50</v>
      </c>
      <c r="H115" s="25" t="s">
        <v>197</v>
      </c>
      <c r="I115" s="25" t="s">
        <v>197</v>
      </c>
      <c r="J115" s="25">
        <v>44242</v>
      </c>
      <c r="K115" s="25" t="s">
        <v>606</v>
      </c>
      <c r="L115" s="25">
        <v>44242</v>
      </c>
      <c r="M115" s="25">
        <v>2021</v>
      </c>
      <c r="N115" s="25">
        <v>16</v>
      </c>
      <c r="O115" s="25">
        <v>44251</v>
      </c>
      <c r="P115" s="25">
        <v>2021</v>
      </c>
      <c r="Q115" s="25">
        <v>16</v>
      </c>
      <c r="R115" s="25">
        <v>2</v>
      </c>
      <c r="S115" s="25">
        <v>8</v>
      </c>
      <c r="T115" s="25">
        <v>8</v>
      </c>
      <c r="U115" s="25">
        <v>0</v>
      </c>
      <c r="V115" s="25" t="s">
        <v>22</v>
      </c>
      <c r="W115" s="25" t="s">
        <v>264</v>
      </c>
      <c r="X115" s="25">
        <v>2</v>
      </c>
    </row>
    <row r="116" spans="1:24">
      <c r="A116" s="25" t="s">
        <v>607</v>
      </c>
      <c r="B116" s="25" t="s">
        <v>574</v>
      </c>
      <c r="C116" s="25" t="s">
        <v>20</v>
      </c>
      <c r="D116" s="25" t="s">
        <v>21</v>
      </c>
      <c r="E116" s="25" t="s">
        <v>268</v>
      </c>
      <c r="F116" s="25" t="s">
        <v>600</v>
      </c>
      <c r="G116" s="25" t="s">
        <v>24</v>
      </c>
      <c r="H116" s="25" t="s">
        <v>486</v>
      </c>
      <c r="I116" s="25" t="s">
        <v>197</v>
      </c>
      <c r="J116" s="25">
        <v>44263</v>
      </c>
      <c r="K116" s="25" t="s">
        <v>608</v>
      </c>
      <c r="L116" s="25">
        <v>44263</v>
      </c>
      <c r="M116" s="25">
        <v>2021</v>
      </c>
      <c r="N116" s="25">
        <v>68</v>
      </c>
      <c r="O116" s="25">
        <v>44515</v>
      </c>
      <c r="P116" s="25">
        <v>2021</v>
      </c>
      <c r="Q116" s="25">
        <v>68</v>
      </c>
      <c r="R116" s="25">
        <v>5</v>
      </c>
      <c r="S116" s="25">
        <v>172</v>
      </c>
      <c r="T116" s="25">
        <v>172</v>
      </c>
      <c r="U116" s="25">
        <v>0</v>
      </c>
      <c r="V116" s="25" t="s">
        <v>22</v>
      </c>
      <c r="W116" s="25" t="s">
        <v>261</v>
      </c>
      <c r="X116" s="25">
        <v>0.39534883720930231</v>
      </c>
    </row>
    <row r="117" spans="1:24">
      <c r="A117" s="25" t="s">
        <v>609</v>
      </c>
      <c r="B117" s="25" t="s">
        <v>610</v>
      </c>
      <c r="C117" s="25" t="s">
        <v>20</v>
      </c>
      <c r="D117" s="25" t="s">
        <v>21</v>
      </c>
      <c r="E117" s="25" t="s">
        <v>268</v>
      </c>
      <c r="F117" s="25" t="s">
        <v>23</v>
      </c>
      <c r="G117" s="25" t="s">
        <v>273</v>
      </c>
      <c r="H117" s="25" t="s">
        <v>486</v>
      </c>
      <c r="I117" s="25" t="s">
        <v>197</v>
      </c>
      <c r="J117" s="25">
        <v>44286</v>
      </c>
      <c r="K117" s="25" t="s">
        <v>611</v>
      </c>
      <c r="L117" s="25">
        <v>44286</v>
      </c>
      <c r="M117" s="25">
        <v>2021</v>
      </c>
      <c r="N117" s="25">
        <v>40</v>
      </c>
      <c r="O117" s="25">
        <v>44487</v>
      </c>
      <c r="P117" s="25">
        <v>2021</v>
      </c>
      <c r="Q117" s="25">
        <v>40</v>
      </c>
      <c r="R117" s="25">
        <v>34</v>
      </c>
      <c r="S117" s="25">
        <v>137</v>
      </c>
      <c r="T117" s="25">
        <v>137</v>
      </c>
      <c r="U117" s="25">
        <v>0</v>
      </c>
      <c r="V117" s="25" t="s">
        <v>22</v>
      </c>
      <c r="W117" s="25" t="s">
        <v>261</v>
      </c>
      <c r="X117" s="25">
        <v>0.29197080291970801</v>
      </c>
    </row>
    <row r="118" spans="1:24">
      <c r="A118" s="25" t="s">
        <v>612</v>
      </c>
      <c r="B118" s="25" t="s">
        <v>613</v>
      </c>
      <c r="C118" s="25" t="s">
        <v>20</v>
      </c>
      <c r="D118" s="25" t="s">
        <v>21</v>
      </c>
      <c r="E118" s="25" t="s">
        <v>268</v>
      </c>
      <c r="F118" s="25" t="s">
        <v>23</v>
      </c>
      <c r="G118" s="25" t="s">
        <v>273</v>
      </c>
      <c r="H118" s="25" t="s">
        <v>429</v>
      </c>
      <c r="I118" s="25" t="s">
        <v>197</v>
      </c>
      <c r="J118" s="25">
        <v>44305</v>
      </c>
      <c r="K118" s="25" t="s">
        <v>614</v>
      </c>
      <c r="L118" s="25">
        <v>44305</v>
      </c>
      <c r="M118" s="25">
        <v>2021</v>
      </c>
      <c r="N118" s="25">
        <v>270</v>
      </c>
      <c r="O118" s="25">
        <v>44483</v>
      </c>
      <c r="P118" s="25">
        <v>2021</v>
      </c>
      <c r="Q118" s="25">
        <v>270</v>
      </c>
      <c r="R118" s="25">
        <v>135</v>
      </c>
      <c r="S118" s="25">
        <v>124</v>
      </c>
      <c r="T118" s="25">
        <v>124</v>
      </c>
      <c r="U118" s="25">
        <v>0</v>
      </c>
      <c r="V118" s="25" t="s">
        <v>22</v>
      </c>
      <c r="W118" s="25" t="s">
        <v>264</v>
      </c>
      <c r="X118" s="25">
        <v>2.1774193548387095</v>
      </c>
    </row>
    <row r="119" spans="1:24">
      <c r="A119" s="25" t="s">
        <v>615</v>
      </c>
      <c r="B119" s="25" t="s">
        <v>450</v>
      </c>
      <c r="C119" s="25" t="s">
        <v>20</v>
      </c>
      <c r="D119" s="25" t="s">
        <v>21</v>
      </c>
      <c r="E119" s="25" t="s">
        <v>268</v>
      </c>
      <c r="F119" s="25" t="s">
        <v>616</v>
      </c>
      <c r="G119" s="25" t="s">
        <v>273</v>
      </c>
      <c r="H119" s="25" t="s">
        <v>197</v>
      </c>
      <c r="I119" s="25" t="s">
        <v>197</v>
      </c>
      <c r="J119" s="25">
        <v>44309</v>
      </c>
      <c r="K119" s="25" t="s">
        <v>617</v>
      </c>
      <c r="L119" s="25">
        <v>44309</v>
      </c>
      <c r="M119" s="25">
        <v>2021</v>
      </c>
      <c r="N119" s="25">
        <v>3</v>
      </c>
      <c r="O119" s="25">
        <v>44347</v>
      </c>
      <c r="P119" s="25">
        <v>2021</v>
      </c>
      <c r="Q119" s="25">
        <v>3</v>
      </c>
      <c r="R119" s="25">
        <v>1</v>
      </c>
      <c r="S119" s="25">
        <v>27</v>
      </c>
      <c r="T119" s="25">
        <v>27</v>
      </c>
      <c r="U119" s="25">
        <v>0</v>
      </c>
      <c r="V119" s="25" t="s">
        <v>22</v>
      </c>
      <c r="W119" s="25" t="s">
        <v>264</v>
      </c>
      <c r="X119" s="25">
        <v>0.1111111111111111</v>
      </c>
    </row>
    <row r="120" spans="1:24">
      <c r="A120" s="25" t="s">
        <v>618</v>
      </c>
      <c r="B120" s="25" t="s">
        <v>423</v>
      </c>
      <c r="C120" s="25" t="s">
        <v>20</v>
      </c>
      <c r="D120" s="25" t="s">
        <v>21</v>
      </c>
      <c r="E120" s="25" t="s">
        <v>268</v>
      </c>
      <c r="F120" s="25" t="s">
        <v>616</v>
      </c>
      <c r="G120" s="25" t="s">
        <v>269</v>
      </c>
      <c r="H120" s="25" t="s">
        <v>197</v>
      </c>
      <c r="I120" s="25" t="s">
        <v>197</v>
      </c>
      <c r="J120" s="25">
        <v>44312</v>
      </c>
      <c r="K120" s="25" t="s">
        <v>619</v>
      </c>
      <c r="L120" s="25">
        <v>44312</v>
      </c>
      <c r="M120" s="25">
        <v>2021</v>
      </c>
      <c r="N120" s="25">
        <v>5</v>
      </c>
      <c r="O120" s="25">
        <v>44347</v>
      </c>
      <c r="P120" s="25">
        <v>2021</v>
      </c>
      <c r="Q120" s="25">
        <v>5</v>
      </c>
      <c r="R120" s="25">
        <v>1</v>
      </c>
      <c r="S120" s="25">
        <v>26</v>
      </c>
      <c r="T120" s="25">
        <v>26</v>
      </c>
      <c r="U120" s="25">
        <v>0</v>
      </c>
      <c r="V120" s="25" t="s">
        <v>22</v>
      </c>
      <c r="W120" s="25" t="s">
        <v>264</v>
      </c>
      <c r="X120" s="25">
        <v>0.19230769230769232</v>
      </c>
    </row>
    <row r="121" spans="1:24">
      <c r="A121" s="25" t="s">
        <v>620</v>
      </c>
      <c r="B121" s="25" t="s">
        <v>621</v>
      </c>
      <c r="C121" s="25" t="s">
        <v>20</v>
      </c>
      <c r="D121" s="25" t="s">
        <v>21</v>
      </c>
      <c r="E121" s="25" t="s">
        <v>268</v>
      </c>
      <c r="F121" s="25" t="s">
        <v>23</v>
      </c>
      <c r="G121" s="25" t="s">
        <v>81</v>
      </c>
      <c r="H121" s="25" t="s">
        <v>486</v>
      </c>
      <c r="I121" s="25" t="s">
        <v>197</v>
      </c>
      <c r="J121" s="25">
        <v>44316</v>
      </c>
      <c r="K121" s="25" t="s">
        <v>622</v>
      </c>
      <c r="L121" s="25">
        <v>44316</v>
      </c>
      <c r="M121" s="25">
        <v>2021</v>
      </c>
      <c r="N121" s="25">
        <v>5</v>
      </c>
      <c r="O121" s="25">
        <v>44337</v>
      </c>
      <c r="P121" s="25">
        <v>2021</v>
      </c>
      <c r="Q121" s="25">
        <v>5</v>
      </c>
      <c r="R121" s="25">
        <v>1</v>
      </c>
      <c r="S121" s="25">
        <v>16</v>
      </c>
      <c r="T121" s="25">
        <v>16</v>
      </c>
      <c r="U121" s="25">
        <v>0</v>
      </c>
      <c r="V121" s="25" t="s">
        <v>22</v>
      </c>
      <c r="W121" s="25" t="s">
        <v>261</v>
      </c>
      <c r="X121" s="25">
        <v>0.3125</v>
      </c>
    </row>
    <row r="122" spans="1:24">
      <c r="A122" s="25" t="s">
        <v>623</v>
      </c>
      <c r="B122" s="25" t="s">
        <v>404</v>
      </c>
      <c r="C122" s="25" t="s">
        <v>20</v>
      </c>
      <c r="D122" s="25" t="s">
        <v>21</v>
      </c>
      <c r="E122" s="25" t="s">
        <v>268</v>
      </c>
      <c r="F122" s="25" t="s">
        <v>616</v>
      </c>
      <c r="G122" s="25" t="s">
        <v>273</v>
      </c>
      <c r="H122" s="25" t="s">
        <v>173</v>
      </c>
      <c r="I122" s="25" t="s">
        <v>173</v>
      </c>
      <c r="J122" s="25">
        <v>44309</v>
      </c>
      <c r="K122" s="25" t="s">
        <v>624</v>
      </c>
      <c r="L122" s="25">
        <v>44309</v>
      </c>
      <c r="M122" s="25">
        <v>2021</v>
      </c>
      <c r="N122" s="25">
        <v>5</v>
      </c>
      <c r="O122" s="25">
        <v>44530</v>
      </c>
      <c r="P122" s="25">
        <v>2021</v>
      </c>
      <c r="Q122" s="25">
        <v>5</v>
      </c>
      <c r="R122" s="25">
        <v>1</v>
      </c>
      <c r="S122" s="25">
        <v>151</v>
      </c>
      <c r="T122" s="25">
        <v>151</v>
      </c>
      <c r="U122" s="25">
        <v>0</v>
      </c>
      <c r="V122" s="25" t="s">
        <v>22</v>
      </c>
      <c r="W122" s="25" t="s">
        <v>263</v>
      </c>
      <c r="X122" s="25">
        <v>3.3112582781456956E-2</v>
      </c>
    </row>
    <row r="123" spans="1:24">
      <c r="A123" s="25" t="s">
        <v>625</v>
      </c>
      <c r="B123" s="25" t="s">
        <v>410</v>
      </c>
      <c r="C123" s="25" t="s">
        <v>20</v>
      </c>
      <c r="D123" s="25" t="s">
        <v>21</v>
      </c>
      <c r="E123" s="25" t="s">
        <v>268</v>
      </c>
      <c r="F123" s="25" t="s">
        <v>616</v>
      </c>
      <c r="G123" s="25" t="s">
        <v>273</v>
      </c>
      <c r="H123" s="25" t="s">
        <v>173</v>
      </c>
      <c r="I123" s="25" t="s">
        <v>173</v>
      </c>
      <c r="J123" s="25">
        <v>44316</v>
      </c>
      <c r="K123" s="25" t="s">
        <v>626</v>
      </c>
      <c r="L123" s="25">
        <v>44316</v>
      </c>
      <c r="M123" s="25">
        <v>2021</v>
      </c>
      <c r="N123" s="25">
        <v>3</v>
      </c>
      <c r="O123" s="25">
        <v>44348</v>
      </c>
      <c r="P123" s="25">
        <v>2021</v>
      </c>
      <c r="Q123" s="25">
        <v>3</v>
      </c>
      <c r="R123" s="25">
        <v>2</v>
      </c>
      <c r="S123" s="25">
        <v>23</v>
      </c>
      <c r="T123" s="25">
        <v>23</v>
      </c>
      <c r="U123" s="25">
        <v>0</v>
      </c>
      <c r="V123" s="25" t="s">
        <v>22</v>
      </c>
      <c r="W123" s="25" t="s">
        <v>263</v>
      </c>
      <c r="X123" s="25">
        <v>0.13043478260869565</v>
      </c>
    </row>
    <row r="124" spans="1:24">
      <c r="A124" s="25" t="s">
        <v>627</v>
      </c>
      <c r="B124" s="25" t="s">
        <v>613</v>
      </c>
      <c r="C124" s="25" t="s">
        <v>20</v>
      </c>
      <c r="D124" s="25" t="s">
        <v>21</v>
      </c>
      <c r="E124" s="25" t="s">
        <v>268</v>
      </c>
      <c r="F124" s="25" t="s">
        <v>616</v>
      </c>
      <c r="G124" s="25" t="s">
        <v>273</v>
      </c>
      <c r="H124" s="25" t="s">
        <v>429</v>
      </c>
      <c r="I124" s="25" t="s">
        <v>197</v>
      </c>
      <c r="J124" s="25">
        <v>44319</v>
      </c>
      <c r="K124" s="25" t="s">
        <v>628</v>
      </c>
      <c r="L124" s="25">
        <v>44319</v>
      </c>
      <c r="M124" s="25">
        <v>2021</v>
      </c>
      <c r="N124" s="25">
        <v>22</v>
      </c>
      <c r="O124" s="25">
        <v>44483</v>
      </c>
      <c r="P124" s="25">
        <v>2021</v>
      </c>
      <c r="Q124" s="25">
        <v>22</v>
      </c>
      <c r="R124" s="25">
        <v>1</v>
      </c>
      <c r="S124" s="25">
        <v>114</v>
      </c>
      <c r="T124" s="25">
        <v>114</v>
      </c>
      <c r="U124" s="25">
        <v>0</v>
      </c>
      <c r="V124" s="25" t="s">
        <v>22</v>
      </c>
      <c r="W124" s="25" t="s">
        <v>264</v>
      </c>
      <c r="X124" s="25">
        <v>0.19298245614035087</v>
      </c>
    </row>
    <row r="125" spans="1:24">
      <c r="A125" s="25" t="s">
        <v>629</v>
      </c>
      <c r="B125" s="25" t="s">
        <v>571</v>
      </c>
      <c r="C125" s="25" t="s">
        <v>20</v>
      </c>
      <c r="D125" s="25" t="s">
        <v>21</v>
      </c>
      <c r="E125" s="25" t="s">
        <v>268</v>
      </c>
      <c r="F125" s="25" t="s">
        <v>616</v>
      </c>
      <c r="G125" s="25" t="s">
        <v>273</v>
      </c>
      <c r="H125" s="25" t="s">
        <v>486</v>
      </c>
      <c r="I125" s="25" t="s">
        <v>197</v>
      </c>
      <c r="J125" s="25">
        <v>44337</v>
      </c>
      <c r="K125" s="25" t="s">
        <v>630</v>
      </c>
      <c r="L125" s="25">
        <v>44337</v>
      </c>
      <c r="M125" s="25">
        <v>2021</v>
      </c>
      <c r="N125" s="25">
        <v>29</v>
      </c>
      <c r="O125" s="25">
        <v>44722</v>
      </c>
      <c r="P125" s="25">
        <v>2022</v>
      </c>
      <c r="Q125" s="25">
        <v>29</v>
      </c>
      <c r="R125" s="25">
        <v>10</v>
      </c>
      <c r="S125" s="25">
        <v>261</v>
      </c>
      <c r="T125" s="25">
        <v>261</v>
      </c>
      <c r="U125" s="25">
        <v>0</v>
      </c>
      <c r="V125" s="25" t="s">
        <v>22</v>
      </c>
      <c r="W125" s="25" t="s">
        <v>261</v>
      </c>
      <c r="X125" s="25">
        <v>0.1111111111111111</v>
      </c>
    </row>
    <row r="126" spans="1:24">
      <c r="A126" s="25" t="s">
        <v>631</v>
      </c>
      <c r="B126" s="25" t="s">
        <v>632</v>
      </c>
      <c r="C126" s="25" t="s">
        <v>20</v>
      </c>
      <c r="D126" s="25" t="s">
        <v>21</v>
      </c>
      <c r="E126" s="25" t="s">
        <v>268</v>
      </c>
      <c r="F126" s="25" t="s">
        <v>23</v>
      </c>
      <c r="G126" s="25" t="s">
        <v>81</v>
      </c>
      <c r="H126" s="25" t="s">
        <v>429</v>
      </c>
      <c r="I126" s="25" t="s">
        <v>197</v>
      </c>
      <c r="J126" s="25">
        <v>44342</v>
      </c>
      <c r="K126" s="25" t="s">
        <v>633</v>
      </c>
      <c r="L126" s="25">
        <v>44342</v>
      </c>
      <c r="M126" s="25">
        <v>2021</v>
      </c>
      <c r="N126" s="25">
        <v>7</v>
      </c>
      <c r="O126" s="25">
        <v>44399</v>
      </c>
      <c r="P126" s="25">
        <v>2021</v>
      </c>
      <c r="Q126" s="25">
        <v>7</v>
      </c>
      <c r="R126" s="25">
        <v>1</v>
      </c>
      <c r="S126" s="25">
        <v>41</v>
      </c>
      <c r="T126" s="25">
        <v>41</v>
      </c>
      <c r="U126" s="25">
        <v>0</v>
      </c>
      <c r="V126" s="25" t="s">
        <v>22</v>
      </c>
      <c r="W126" s="25" t="s">
        <v>264</v>
      </c>
      <c r="X126" s="25">
        <v>0.17073170731707318</v>
      </c>
    </row>
    <row r="127" spans="1:24">
      <c r="A127" s="25" t="s">
        <v>634</v>
      </c>
      <c r="B127" s="25" t="s">
        <v>635</v>
      </c>
      <c r="C127" s="25" t="s">
        <v>20</v>
      </c>
      <c r="D127" s="25" t="s">
        <v>21</v>
      </c>
      <c r="E127" s="25" t="s">
        <v>268</v>
      </c>
      <c r="F127" s="25" t="s">
        <v>23</v>
      </c>
      <c r="G127" s="25" t="s">
        <v>269</v>
      </c>
      <c r="H127" s="25" t="s">
        <v>429</v>
      </c>
      <c r="I127" s="25" t="s">
        <v>197</v>
      </c>
      <c r="J127" s="25">
        <v>44342</v>
      </c>
      <c r="K127" s="25" t="s">
        <v>636</v>
      </c>
      <c r="L127" s="25">
        <v>44342</v>
      </c>
      <c r="M127" s="25">
        <v>2021</v>
      </c>
      <c r="N127" s="25">
        <v>34</v>
      </c>
      <c r="O127" s="25">
        <v>44763</v>
      </c>
      <c r="P127" s="25">
        <v>2022</v>
      </c>
      <c r="Q127" s="25">
        <v>24</v>
      </c>
      <c r="R127" s="25">
        <v>22</v>
      </c>
      <c r="S127" s="25">
        <v>284</v>
      </c>
      <c r="T127" s="25">
        <v>284</v>
      </c>
      <c r="U127" s="25">
        <v>0</v>
      </c>
      <c r="V127" s="25" t="s">
        <v>22</v>
      </c>
      <c r="W127" s="25" t="s">
        <v>264</v>
      </c>
      <c r="X127" s="25">
        <v>8.4507042253521125E-2</v>
      </c>
    </row>
    <row r="128" spans="1:24">
      <c r="A128" s="25" t="s">
        <v>637</v>
      </c>
      <c r="B128" s="25" t="s">
        <v>638</v>
      </c>
      <c r="C128" s="25" t="s">
        <v>20</v>
      </c>
      <c r="D128" s="25" t="s">
        <v>21</v>
      </c>
      <c r="E128" s="25" t="s">
        <v>268</v>
      </c>
      <c r="F128" s="25" t="s">
        <v>23</v>
      </c>
      <c r="G128" s="25" t="s">
        <v>269</v>
      </c>
      <c r="H128" s="25" t="s">
        <v>152</v>
      </c>
      <c r="I128" s="25" t="s">
        <v>152</v>
      </c>
      <c r="J128" s="25">
        <v>44515</v>
      </c>
      <c r="K128" s="25" t="s">
        <v>639</v>
      </c>
      <c r="L128" s="25">
        <v>44516</v>
      </c>
      <c r="M128" s="25">
        <v>2021</v>
      </c>
      <c r="N128" s="25">
        <v>20</v>
      </c>
      <c r="O128" s="25">
        <v>44559</v>
      </c>
      <c r="P128" s="25">
        <v>2021</v>
      </c>
      <c r="Q128" s="25">
        <v>20</v>
      </c>
      <c r="R128" s="25">
        <v>14</v>
      </c>
      <c r="S128" s="25">
        <v>29</v>
      </c>
      <c r="T128" s="25">
        <v>29</v>
      </c>
      <c r="U128" s="25">
        <v>0</v>
      </c>
      <c r="V128" s="25" t="s">
        <v>22</v>
      </c>
      <c r="W128" s="25" t="s">
        <v>260</v>
      </c>
      <c r="X128" s="25">
        <v>0.68965517241379315</v>
      </c>
    </row>
    <row r="129" spans="1:24">
      <c r="A129" s="25" t="s">
        <v>640</v>
      </c>
      <c r="B129" s="25" t="s">
        <v>365</v>
      </c>
      <c r="C129" s="25" t="s">
        <v>20</v>
      </c>
      <c r="D129" s="25" t="s">
        <v>21</v>
      </c>
      <c r="E129" s="25" t="s">
        <v>268</v>
      </c>
      <c r="F129" s="25" t="s">
        <v>616</v>
      </c>
      <c r="G129" s="25" t="s">
        <v>273</v>
      </c>
      <c r="H129" s="25" t="s">
        <v>173</v>
      </c>
      <c r="I129" s="25" t="s">
        <v>173</v>
      </c>
      <c r="J129" s="25">
        <v>44320</v>
      </c>
      <c r="K129" s="25" t="s">
        <v>641</v>
      </c>
      <c r="L129" s="25">
        <v>44320</v>
      </c>
      <c r="M129" s="25">
        <v>2021</v>
      </c>
      <c r="N129" s="25">
        <v>3</v>
      </c>
      <c r="O129" s="25">
        <v>44561</v>
      </c>
      <c r="P129" s="25">
        <v>2021</v>
      </c>
      <c r="Q129" s="25">
        <v>3</v>
      </c>
      <c r="R129" s="25">
        <v>1</v>
      </c>
      <c r="S129" s="25">
        <v>163</v>
      </c>
      <c r="T129" s="25">
        <v>163</v>
      </c>
      <c r="U129" s="25">
        <v>0</v>
      </c>
      <c r="V129" s="25" t="s">
        <v>22</v>
      </c>
      <c r="W129" s="25" t="s">
        <v>263</v>
      </c>
      <c r="X129" s="25">
        <v>1.8404907975460124E-2</v>
      </c>
    </row>
    <row r="130" spans="1:24">
      <c r="A130" s="25" t="s">
        <v>642</v>
      </c>
      <c r="B130" s="25" t="s">
        <v>377</v>
      </c>
      <c r="C130" s="25" t="s">
        <v>20</v>
      </c>
      <c r="D130" s="25" t="s">
        <v>21</v>
      </c>
      <c r="E130" s="25" t="s">
        <v>268</v>
      </c>
      <c r="F130" s="25" t="s">
        <v>616</v>
      </c>
      <c r="G130" s="25" t="s">
        <v>273</v>
      </c>
      <c r="H130" s="25" t="s">
        <v>173</v>
      </c>
      <c r="I130" s="25" t="s">
        <v>173</v>
      </c>
      <c r="J130" s="25">
        <v>44327</v>
      </c>
      <c r="K130" s="25" t="s">
        <v>643</v>
      </c>
      <c r="L130" s="25">
        <v>44327</v>
      </c>
      <c r="M130" s="25">
        <v>2021</v>
      </c>
      <c r="N130" s="25">
        <v>3</v>
      </c>
      <c r="O130" s="25">
        <v>44393</v>
      </c>
      <c r="P130" s="25">
        <v>2021</v>
      </c>
      <c r="Q130" s="25">
        <v>3</v>
      </c>
      <c r="R130" s="25">
        <v>2</v>
      </c>
      <c r="S130" s="25">
        <v>48</v>
      </c>
      <c r="T130" s="25">
        <v>48</v>
      </c>
      <c r="U130" s="25">
        <v>0</v>
      </c>
      <c r="V130" s="25" t="s">
        <v>22</v>
      </c>
      <c r="W130" s="25" t="s">
        <v>263</v>
      </c>
      <c r="X130" s="25">
        <v>6.25E-2</v>
      </c>
    </row>
    <row r="131" spans="1:24">
      <c r="A131" s="25" t="s">
        <v>644</v>
      </c>
      <c r="B131" s="25" t="s">
        <v>371</v>
      </c>
      <c r="C131" s="25" t="s">
        <v>20</v>
      </c>
      <c r="D131" s="25" t="s">
        <v>21</v>
      </c>
      <c r="E131" s="25" t="s">
        <v>268</v>
      </c>
      <c r="F131" s="25" t="s">
        <v>616</v>
      </c>
      <c r="G131" s="25" t="s">
        <v>273</v>
      </c>
      <c r="H131" s="25" t="s">
        <v>173</v>
      </c>
      <c r="I131" s="25" t="s">
        <v>173</v>
      </c>
      <c r="J131" s="25">
        <v>44328</v>
      </c>
      <c r="K131" s="25" t="s">
        <v>645</v>
      </c>
      <c r="L131" s="25">
        <v>44328</v>
      </c>
      <c r="M131" s="25">
        <v>2021</v>
      </c>
      <c r="N131" s="25">
        <v>4</v>
      </c>
      <c r="O131" s="25">
        <v>44377</v>
      </c>
      <c r="P131" s="25">
        <v>2021</v>
      </c>
      <c r="Q131" s="25">
        <v>4</v>
      </c>
      <c r="R131" s="25">
        <v>3</v>
      </c>
      <c r="S131" s="25">
        <v>35</v>
      </c>
      <c r="T131" s="25">
        <v>35</v>
      </c>
      <c r="U131" s="25">
        <v>0</v>
      </c>
      <c r="V131" s="25" t="s">
        <v>22</v>
      </c>
      <c r="W131" s="25" t="s">
        <v>263</v>
      </c>
      <c r="X131" s="25">
        <v>0.11428571428571428</v>
      </c>
    </row>
    <row r="132" spans="1:24">
      <c r="A132" s="25" t="s">
        <v>646</v>
      </c>
      <c r="B132" s="25" t="s">
        <v>647</v>
      </c>
      <c r="C132" s="25" t="s">
        <v>20</v>
      </c>
      <c r="D132" s="25" t="s">
        <v>21</v>
      </c>
      <c r="E132" s="25" t="s">
        <v>268</v>
      </c>
      <c r="F132" s="25" t="s">
        <v>23</v>
      </c>
      <c r="G132" s="25" t="s">
        <v>269</v>
      </c>
      <c r="H132" s="25" t="s">
        <v>127</v>
      </c>
      <c r="I132" s="25" t="s">
        <v>127</v>
      </c>
      <c r="J132" s="25">
        <v>44414</v>
      </c>
      <c r="K132" s="25" t="s">
        <v>648</v>
      </c>
      <c r="L132" s="25">
        <v>44414</v>
      </c>
      <c r="M132" s="25">
        <v>2021</v>
      </c>
      <c r="N132" s="25">
        <v>171</v>
      </c>
      <c r="O132" s="25">
        <v>44561</v>
      </c>
      <c r="P132" s="25">
        <v>2021</v>
      </c>
      <c r="Q132" s="25">
        <v>171</v>
      </c>
      <c r="R132" s="25">
        <v>98</v>
      </c>
      <c r="S132" s="25">
        <v>98</v>
      </c>
      <c r="T132" s="25">
        <v>98</v>
      </c>
      <c r="U132" s="25">
        <v>0</v>
      </c>
      <c r="V132" s="25" t="s">
        <v>22</v>
      </c>
      <c r="W132" s="25" t="s">
        <v>262</v>
      </c>
      <c r="X132" s="25">
        <v>1.7448979591836735</v>
      </c>
    </row>
    <row r="133" spans="1:24">
      <c r="A133" s="25" t="s">
        <v>649</v>
      </c>
      <c r="B133" s="25" t="s">
        <v>650</v>
      </c>
      <c r="C133" s="25" t="s">
        <v>20</v>
      </c>
      <c r="D133" s="25" t="s">
        <v>21</v>
      </c>
      <c r="E133" s="25" t="s">
        <v>268</v>
      </c>
      <c r="F133" s="25" t="s">
        <v>23</v>
      </c>
      <c r="G133" s="25" t="s">
        <v>269</v>
      </c>
      <c r="H133" s="25" t="s">
        <v>25</v>
      </c>
      <c r="I133" s="25" t="s">
        <v>25</v>
      </c>
      <c r="J133" s="25">
        <v>44417</v>
      </c>
      <c r="K133" s="25" t="s">
        <v>651</v>
      </c>
      <c r="L133" s="25">
        <v>44418</v>
      </c>
      <c r="M133" s="25">
        <v>2021</v>
      </c>
      <c r="N133" s="25">
        <v>166</v>
      </c>
      <c r="O133" s="25">
        <v>44561</v>
      </c>
      <c r="P133" s="25">
        <v>2021</v>
      </c>
      <c r="Q133" s="25">
        <v>166</v>
      </c>
      <c r="R133" s="25">
        <v>58</v>
      </c>
      <c r="S133" s="25">
        <v>96</v>
      </c>
      <c r="T133" s="25">
        <v>96</v>
      </c>
      <c r="U133" s="25">
        <v>0</v>
      </c>
      <c r="V133" s="25" t="s">
        <v>22</v>
      </c>
      <c r="W133" s="25" t="s">
        <v>264</v>
      </c>
      <c r="X133" s="25">
        <v>1.7291666666666667</v>
      </c>
    </row>
    <row r="134" spans="1:24">
      <c r="A134" s="25" t="s">
        <v>652</v>
      </c>
      <c r="B134" s="25" t="s">
        <v>294</v>
      </c>
      <c r="C134" s="25" t="s">
        <v>20</v>
      </c>
      <c r="D134" s="25" t="s">
        <v>21</v>
      </c>
      <c r="E134" s="25" t="s">
        <v>268</v>
      </c>
      <c r="F134" s="25" t="s">
        <v>23</v>
      </c>
      <c r="G134" s="25" t="s">
        <v>269</v>
      </c>
      <c r="H134" s="25" t="s">
        <v>143</v>
      </c>
      <c r="I134" s="25" t="s">
        <v>107</v>
      </c>
      <c r="J134" s="25">
        <v>44455</v>
      </c>
      <c r="K134" s="25" t="s">
        <v>653</v>
      </c>
      <c r="L134" s="25">
        <v>44455</v>
      </c>
      <c r="M134" s="25">
        <v>2021</v>
      </c>
      <c r="N134" s="25">
        <v>110</v>
      </c>
      <c r="O134" s="25">
        <v>44671</v>
      </c>
      <c r="P134" s="25">
        <v>2022</v>
      </c>
      <c r="Q134" s="25">
        <v>106</v>
      </c>
      <c r="R134" s="25">
        <v>62</v>
      </c>
      <c r="S134" s="25">
        <v>145</v>
      </c>
      <c r="T134" s="25">
        <v>145</v>
      </c>
      <c r="U134" s="25">
        <v>0</v>
      </c>
      <c r="V134" s="25" t="s">
        <v>22</v>
      </c>
      <c r="W134" s="25" t="s">
        <v>261</v>
      </c>
      <c r="X134" s="25">
        <v>0.73103448275862071</v>
      </c>
    </row>
    <row r="135" spans="1:24">
      <c r="A135" s="25" t="s">
        <v>654</v>
      </c>
      <c r="B135" s="25" t="s">
        <v>655</v>
      </c>
      <c r="C135" s="25" t="s">
        <v>20</v>
      </c>
      <c r="D135" s="25" t="s">
        <v>21</v>
      </c>
      <c r="E135" s="25" t="s">
        <v>268</v>
      </c>
      <c r="F135" s="25" t="s">
        <v>23</v>
      </c>
      <c r="G135" s="25" t="s">
        <v>269</v>
      </c>
      <c r="H135" s="25" t="s">
        <v>173</v>
      </c>
      <c r="I135" s="25" t="s">
        <v>173</v>
      </c>
      <c r="J135" s="25">
        <v>44462</v>
      </c>
      <c r="K135" s="25" t="s">
        <v>656</v>
      </c>
      <c r="L135" s="25">
        <v>44463</v>
      </c>
      <c r="M135" s="25">
        <v>2021</v>
      </c>
      <c r="N135" s="25">
        <v>127</v>
      </c>
      <c r="O135" s="25">
        <v>44768</v>
      </c>
      <c r="P135" s="25">
        <v>2022</v>
      </c>
      <c r="Q135" s="25">
        <v>127</v>
      </c>
      <c r="R135" s="25">
        <v>81</v>
      </c>
      <c r="S135" s="25">
        <v>51</v>
      </c>
      <c r="T135" s="25">
        <v>204</v>
      </c>
      <c r="U135" s="25">
        <v>0</v>
      </c>
      <c r="V135" s="25" t="s">
        <v>22</v>
      </c>
      <c r="W135" s="25" t="s">
        <v>263</v>
      </c>
      <c r="X135" s="25">
        <v>0.62254901960784315</v>
      </c>
    </row>
    <row r="136" spans="1:24">
      <c r="A136" s="25" t="s">
        <v>657</v>
      </c>
      <c r="B136" s="25" t="s">
        <v>658</v>
      </c>
      <c r="C136" s="25" t="s">
        <v>20</v>
      </c>
      <c r="D136" s="25" t="s">
        <v>21</v>
      </c>
      <c r="E136" s="25" t="s">
        <v>268</v>
      </c>
      <c r="F136" s="25" t="s">
        <v>23</v>
      </c>
      <c r="G136" s="25" t="s">
        <v>273</v>
      </c>
      <c r="H136" s="25" t="s">
        <v>127</v>
      </c>
      <c r="I136" s="25" t="s">
        <v>127</v>
      </c>
      <c r="J136" s="25">
        <v>44483</v>
      </c>
      <c r="K136" s="25" t="s">
        <v>659</v>
      </c>
      <c r="L136" s="25">
        <v>44483</v>
      </c>
      <c r="M136" s="25">
        <v>2021</v>
      </c>
      <c r="N136" s="25">
        <v>173</v>
      </c>
      <c r="O136" s="25">
        <v>44830</v>
      </c>
      <c r="P136" s="25">
        <v>2022</v>
      </c>
      <c r="Q136" s="25">
        <v>168</v>
      </c>
      <c r="R136" s="25">
        <v>92</v>
      </c>
      <c r="S136" s="25">
        <v>231</v>
      </c>
      <c r="T136" s="25">
        <v>231</v>
      </c>
      <c r="U136" s="25">
        <v>0</v>
      </c>
      <c r="V136" s="25" t="s">
        <v>22</v>
      </c>
      <c r="W136" s="25" t="s">
        <v>262</v>
      </c>
      <c r="X136" s="25">
        <v>0.72727272727272729</v>
      </c>
    </row>
    <row r="137" spans="1:24">
      <c r="A137" s="25" t="s">
        <v>660</v>
      </c>
      <c r="B137" s="25" t="s">
        <v>661</v>
      </c>
      <c r="C137" s="25" t="s">
        <v>20</v>
      </c>
      <c r="D137" s="25" t="s">
        <v>21</v>
      </c>
      <c r="E137" s="25" t="s">
        <v>268</v>
      </c>
      <c r="F137" s="25" t="s">
        <v>23</v>
      </c>
      <c r="G137" s="25" t="s">
        <v>269</v>
      </c>
      <c r="H137" s="25" t="s">
        <v>159</v>
      </c>
      <c r="I137" s="25" t="s">
        <v>159</v>
      </c>
      <c r="J137" s="25">
        <v>44484</v>
      </c>
      <c r="K137" s="25" t="s">
        <v>662</v>
      </c>
      <c r="L137" s="25">
        <v>44484</v>
      </c>
      <c r="M137" s="25">
        <v>2021</v>
      </c>
      <c r="N137" s="25">
        <v>37</v>
      </c>
      <c r="O137" s="25">
        <v>44560</v>
      </c>
      <c r="P137" s="25">
        <v>2021</v>
      </c>
      <c r="Q137" s="25">
        <v>37</v>
      </c>
      <c r="R137" s="25">
        <v>23</v>
      </c>
      <c r="S137" s="25">
        <v>50</v>
      </c>
      <c r="T137" s="25">
        <v>50</v>
      </c>
      <c r="U137" s="25">
        <v>0</v>
      </c>
      <c r="V137" s="25" t="s">
        <v>22</v>
      </c>
      <c r="W137" s="25" t="s">
        <v>261</v>
      </c>
      <c r="X137" s="25">
        <v>0.74</v>
      </c>
    </row>
    <row r="138" spans="1:24">
      <c r="A138" s="25" t="s">
        <v>663</v>
      </c>
      <c r="B138" s="25" t="s">
        <v>664</v>
      </c>
      <c r="C138" s="25" t="s">
        <v>20</v>
      </c>
      <c r="D138" s="25" t="s">
        <v>21</v>
      </c>
      <c r="E138" s="25" t="s">
        <v>268</v>
      </c>
      <c r="F138" s="25" t="s">
        <v>23</v>
      </c>
      <c r="G138" s="25" t="s">
        <v>269</v>
      </c>
      <c r="H138" s="25" t="s">
        <v>25</v>
      </c>
      <c r="I138" s="25" t="s">
        <v>159</v>
      </c>
      <c r="J138" s="25">
        <v>44490</v>
      </c>
      <c r="K138" s="25" t="s">
        <v>665</v>
      </c>
      <c r="L138" s="25">
        <v>44490</v>
      </c>
      <c r="M138" s="25">
        <v>2021</v>
      </c>
      <c r="N138" s="25">
        <v>56</v>
      </c>
      <c r="O138" s="25">
        <v>44551</v>
      </c>
      <c r="P138" s="25">
        <v>2021</v>
      </c>
      <c r="Q138" s="25">
        <v>56</v>
      </c>
      <c r="R138" s="25">
        <v>9</v>
      </c>
      <c r="S138" s="25">
        <v>41</v>
      </c>
      <c r="T138" s="25">
        <v>41</v>
      </c>
      <c r="U138" s="25">
        <v>0</v>
      </c>
      <c r="V138" s="25" t="s">
        <v>22</v>
      </c>
      <c r="W138" s="25" t="s">
        <v>264</v>
      </c>
      <c r="X138" s="25">
        <v>1.3658536585365855</v>
      </c>
    </row>
    <row r="139" spans="1:24">
      <c r="A139" s="25" t="s">
        <v>666</v>
      </c>
      <c r="B139" s="25" t="s">
        <v>413</v>
      </c>
      <c r="C139" s="25" t="s">
        <v>20</v>
      </c>
      <c r="D139" s="25" t="s">
        <v>21</v>
      </c>
      <c r="E139" s="25" t="s">
        <v>268</v>
      </c>
      <c r="F139" s="25" t="s">
        <v>667</v>
      </c>
      <c r="G139" s="25" t="s">
        <v>414</v>
      </c>
      <c r="H139" s="25" t="s">
        <v>173</v>
      </c>
      <c r="I139" s="25" t="s">
        <v>173</v>
      </c>
      <c r="J139" s="25">
        <v>44329</v>
      </c>
      <c r="K139" s="25" t="s">
        <v>668</v>
      </c>
      <c r="L139" s="25">
        <v>44329</v>
      </c>
      <c r="M139" s="25">
        <v>2021</v>
      </c>
      <c r="N139" s="25">
        <v>38</v>
      </c>
      <c r="O139" s="25">
        <v>44503</v>
      </c>
      <c r="P139" s="25">
        <v>2021</v>
      </c>
      <c r="Q139" s="25">
        <v>38</v>
      </c>
      <c r="R139" s="25">
        <v>10</v>
      </c>
      <c r="S139" s="25">
        <v>118</v>
      </c>
      <c r="T139" s="25">
        <v>118</v>
      </c>
      <c r="U139" s="25">
        <v>0</v>
      </c>
      <c r="V139" s="25" t="s">
        <v>22</v>
      </c>
      <c r="W139" s="25" t="s">
        <v>263</v>
      </c>
      <c r="X139" s="25">
        <v>0.32203389830508472</v>
      </c>
    </row>
    <row r="140" spans="1:24">
      <c r="A140" s="25" t="s">
        <v>669</v>
      </c>
      <c r="B140" s="25" t="s">
        <v>395</v>
      </c>
      <c r="C140" s="25" t="s">
        <v>20</v>
      </c>
      <c r="D140" s="25" t="s">
        <v>21</v>
      </c>
      <c r="E140" s="25" t="s">
        <v>268</v>
      </c>
      <c r="F140" s="25" t="s">
        <v>667</v>
      </c>
      <c r="G140" s="25" t="s">
        <v>269</v>
      </c>
      <c r="H140" s="25" t="s">
        <v>173</v>
      </c>
      <c r="I140" s="25" t="s">
        <v>173</v>
      </c>
      <c r="J140" s="25">
        <v>44328</v>
      </c>
      <c r="K140" s="25" t="s">
        <v>670</v>
      </c>
      <c r="L140" s="25">
        <v>44328</v>
      </c>
      <c r="M140" s="25">
        <v>2021</v>
      </c>
      <c r="N140" s="25">
        <v>13</v>
      </c>
      <c r="O140" s="25">
        <v>44523</v>
      </c>
      <c r="P140" s="25">
        <v>2021</v>
      </c>
      <c r="Q140" s="25">
        <v>13</v>
      </c>
      <c r="R140" s="25">
        <v>6</v>
      </c>
      <c r="S140" s="25">
        <v>133</v>
      </c>
      <c r="T140" s="25">
        <v>133</v>
      </c>
      <c r="U140" s="25">
        <v>0</v>
      </c>
      <c r="V140" s="25" t="s">
        <v>22</v>
      </c>
      <c r="W140" s="25" t="s">
        <v>263</v>
      </c>
      <c r="X140" s="25">
        <v>9.7744360902255634E-2</v>
      </c>
    </row>
    <row r="141" spans="1:24">
      <c r="A141" s="25" t="s">
        <v>671</v>
      </c>
      <c r="B141" s="25" t="s">
        <v>423</v>
      </c>
      <c r="C141" s="25" t="s">
        <v>20</v>
      </c>
      <c r="D141" s="25" t="s">
        <v>21</v>
      </c>
      <c r="E141" s="25" t="s">
        <v>268</v>
      </c>
      <c r="F141" s="25" t="s">
        <v>667</v>
      </c>
      <c r="G141" s="25" t="s">
        <v>269</v>
      </c>
      <c r="H141" s="25" t="s">
        <v>197</v>
      </c>
      <c r="I141" s="25" t="s">
        <v>197</v>
      </c>
      <c r="J141" s="25">
        <v>44328</v>
      </c>
      <c r="K141" s="25" t="s">
        <v>672</v>
      </c>
      <c r="L141" s="25">
        <v>44328</v>
      </c>
      <c r="M141" s="25">
        <v>2021</v>
      </c>
      <c r="N141" s="25">
        <v>15</v>
      </c>
      <c r="O141" s="25">
        <v>44484</v>
      </c>
      <c r="P141" s="25">
        <v>2021</v>
      </c>
      <c r="Q141" s="25">
        <v>15</v>
      </c>
      <c r="R141" s="25">
        <v>12</v>
      </c>
      <c r="S141" s="25">
        <v>108</v>
      </c>
      <c r="T141" s="25">
        <v>108</v>
      </c>
      <c r="U141" s="25">
        <v>0</v>
      </c>
      <c r="V141" s="25" t="s">
        <v>22</v>
      </c>
      <c r="W141" s="25" t="s">
        <v>264</v>
      </c>
      <c r="X141" s="25">
        <v>0.1388888888888889</v>
      </c>
    </row>
    <row r="142" spans="1:24">
      <c r="A142" s="25" t="s">
        <v>673</v>
      </c>
      <c r="B142" s="25" t="s">
        <v>516</v>
      </c>
      <c r="C142" s="25" t="s">
        <v>20</v>
      </c>
      <c r="D142" s="25" t="s">
        <v>21</v>
      </c>
      <c r="E142" s="25" t="s">
        <v>268</v>
      </c>
      <c r="F142" s="25" t="s">
        <v>667</v>
      </c>
      <c r="G142" s="25" t="s">
        <v>414</v>
      </c>
      <c r="H142" s="25" t="s">
        <v>486</v>
      </c>
      <c r="I142" s="25" t="s">
        <v>197</v>
      </c>
      <c r="J142" s="25">
        <v>44329</v>
      </c>
      <c r="K142" s="25" t="s">
        <v>674</v>
      </c>
      <c r="L142" s="25">
        <v>44329</v>
      </c>
      <c r="M142" s="25">
        <v>2021</v>
      </c>
      <c r="N142" s="25">
        <v>34</v>
      </c>
      <c r="O142" s="25">
        <v>44503</v>
      </c>
      <c r="P142" s="25">
        <v>2021</v>
      </c>
      <c r="Q142" s="25">
        <v>34</v>
      </c>
      <c r="R142" s="25">
        <v>5</v>
      </c>
      <c r="S142" s="25">
        <v>118</v>
      </c>
      <c r="T142" s="25">
        <v>118</v>
      </c>
      <c r="U142" s="25">
        <v>0</v>
      </c>
      <c r="V142" s="25" t="s">
        <v>22</v>
      </c>
      <c r="W142" s="25" t="s">
        <v>261</v>
      </c>
      <c r="X142" s="25">
        <v>0.28813559322033899</v>
      </c>
    </row>
    <row r="143" spans="1:24">
      <c r="A143" s="25" t="s">
        <v>675</v>
      </c>
      <c r="B143" s="25" t="s">
        <v>330</v>
      </c>
      <c r="C143" s="25" t="s">
        <v>20</v>
      </c>
      <c r="D143" s="25" t="s">
        <v>21</v>
      </c>
      <c r="E143" s="25" t="s">
        <v>268</v>
      </c>
      <c r="F143" s="25" t="s">
        <v>616</v>
      </c>
      <c r="G143" s="25" t="s">
        <v>269</v>
      </c>
      <c r="H143" s="25" t="s">
        <v>69</v>
      </c>
      <c r="I143" s="25" t="s">
        <v>69</v>
      </c>
      <c r="J143" s="25">
        <v>44503</v>
      </c>
      <c r="K143" s="25" t="s">
        <v>676</v>
      </c>
      <c r="L143" s="25">
        <v>44503</v>
      </c>
      <c r="M143" s="25">
        <v>2021</v>
      </c>
      <c r="N143" s="25">
        <v>2</v>
      </c>
      <c r="O143" s="25">
        <v>44559</v>
      </c>
      <c r="P143" s="25">
        <v>2021</v>
      </c>
      <c r="Q143" s="25">
        <v>2</v>
      </c>
      <c r="R143" s="25">
        <v>54</v>
      </c>
      <c r="S143" s="25">
        <v>38</v>
      </c>
      <c r="T143" s="25">
        <v>38</v>
      </c>
      <c r="U143" s="25">
        <v>0</v>
      </c>
      <c r="V143" s="25" t="s">
        <v>22</v>
      </c>
      <c r="W143" s="25" t="s">
        <v>261</v>
      </c>
      <c r="X143" s="25">
        <v>5.2631578947368418E-2</v>
      </c>
    </row>
    <row r="144" spans="1:24">
      <c r="A144" s="25" t="s">
        <v>677</v>
      </c>
      <c r="B144" s="25" t="s">
        <v>330</v>
      </c>
      <c r="C144" s="25" t="s">
        <v>20</v>
      </c>
      <c r="D144" s="25" t="s">
        <v>21</v>
      </c>
      <c r="E144" s="25" t="s">
        <v>268</v>
      </c>
      <c r="F144" s="25" t="s">
        <v>23</v>
      </c>
      <c r="G144" s="25" t="s">
        <v>269</v>
      </c>
      <c r="H144" s="25" t="s">
        <v>69</v>
      </c>
      <c r="I144" s="25" t="s">
        <v>69</v>
      </c>
      <c r="J144" s="25">
        <v>44509</v>
      </c>
      <c r="K144" s="25" t="s">
        <v>678</v>
      </c>
      <c r="L144" s="25">
        <v>44509</v>
      </c>
      <c r="M144" s="25">
        <v>2021</v>
      </c>
      <c r="N144" s="25">
        <v>65</v>
      </c>
      <c r="O144" s="25">
        <v>44559</v>
      </c>
      <c r="P144" s="25">
        <v>2021</v>
      </c>
      <c r="Q144" s="25">
        <v>65</v>
      </c>
      <c r="R144" s="25">
        <v>1</v>
      </c>
      <c r="S144" s="25">
        <v>34</v>
      </c>
      <c r="T144" s="25">
        <v>34</v>
      </c>
      <c r="U144" s="25">
        <v>0</v>
      </c>
      <c r="V144" s="25" t="s">
        <v>22</v>
      </c>
      <c r="W144" s="25" t="s">
        <v>261</v>
      </c>
      <c r="X144" s="25">
        <v>1.911764705882353</v>
      </c>
    </row>
    <row r="145" spans="1:24">
      <c r="A145" s="25" t="s">
        <v>679</v>
      </c>
      <c r="B145" s="25" t="s">
        <v>495</v>
      </c>
      <c r="C145" s="25" t="s">
        <v>20</v>
      </c>
      <c r="D145" s="25" t="s">
        <v>21</v>
      </c>
      <c r="E145" s="25" t="s">
        <v>268</v>
      </c>
      <c r="F145" s="25" t="s">
        <v>23</v>
      </c>
      <c r="G145" s="25" t="s">
        <v>269</v>
      </c>
      <c r="H145" s="25" t="s">
        <v>36</v>
      </c>
      <c r="I145" s="25" t="s">
        <v>37</v>
      </c>
      <c r="J145" s="25">
        <v>44509</v>
      </c>
      <c r="K145" s="25" t="s">
        <v>680</v>
      </c>
      <c r="L145" s="25">
        <v>44509</v>
      </c>
      <c r="M145" s="25">
        <v>2021</v>
      </c>
      <c r="N145" s="25">
        <v>25</v>
      </c>
      <c r="O145" s="25">
        <v>44567</v>
      </c>
      <c r="P145" s="25">
        <v>2022</v>
      </c>
      <c r="Q145" s="25">
        <v>25</v>
      </c>
      <c r="R145" s="25">
        <v>25</v>
      </c>
      <c r="S145" s="25">
        <v>38</v>
      </c>
      <c r="T145" s="25">
        <v>38</v>
      </c>
      <c r="U145" s="25">
        <v>0</v>
      </c>
      <c r="V145" s="25" t="s">
        <v>22</v>
      </c>
      <c r="W145" s="25" t="s">
        <v>264</v>
      </c>
      <c r="X145" s="25">
        <v>0.65789473684210531</v>
      </c>
    </row>
    <row r="146" spans="1:24">
      <c r="A146" s="25" t="s">
        <v>681</v>
      </c>
      <c r="B146" s="25" t="s">
        <v>682</v>
      </c>
      <c r="C146" s="25" t="s">
        <v>20</v>
      </c>
      <c r="D146" s="25" t="s">
        <v>21</v>
      </c>
      <c r="E146" s="25" t="s">
        <v>268</v>
      </c>
      <c r="F146" s="25" t="s">
        <v>23</v>
      </c>
      <c r="G146" s="25" t="s">
        <v>269</v>
      </c>
      <c r="H146" s="25" t="s">
        <v>159</v>
      </c>
      <c r="I146" s="25" t="s">
        <v>159</v>
      </c>
      <c r="J146" s="25">
        <v>44510</v>
      </c>
      <c r="K146" s="25" t="s">
        <v>683</v>
      </c>
      <c r="L146" s="25">
        <v>44512</v>
      </c>
      <c r="M146" s="25">
        <v>2021</v>
      </c>
      <c r="N146" s="25">
        <v>203</v>
      </c>
      <c r="O146" s="25">
        <v>44585</v>
      </c>
      <c r="P146" s="25">
        <v>2022</v>
      </c>
      <c r="Q146" s="25">
        <v>203</v>
      </c>
      <c r="R146" s="25">
        <v>94</v>
      </c>
      <c r="S146" s="25">
        <v>47</v>
      </c>
      <c r="T146" s="25">
        <v>47</v>
      </c>
      <c r="U146" s="25">
        <v>0</v>
      </c>
      <c r="V146" s="25" t="s">
        <v>22</v>
      </c>
      <c r="W146" s="25" t="s">
        <v>261</v>
      </c>
      <c r="X146" s="25">
        <v>4.3191489361702127</v>
      </c>
    </row>
    <row r="147" spans="1:24">
      <c r="A147" s="25" t="s">
        <v>684</v>
      </c>
      <c r="B147" s="25" t="s">
        <v>282</v>
      </c>
      <c r="C147" s="25" t="s">
        <v>20</v>
      </c>
      <c r="D147" s="25" t="s">
        <v>21</v>
      </c>
      <c r="E147" s="25" t="s">
        <v>268</v>
      </c>
      <c r="F147" s="25" t="s">
        <v>23</v>
      </c>
      <c r="G147" s="25" t="s">
        <v>269</v>
      </c>
      <c r="H147" s="25" t="s">
        <v>107</v>
      </c>
      <c r="I147" s="25" t="s">
        <v>107</v>
      </c>
      <c r="J147" s="25">
        <v>44516</v>
      </c>
      <c r="K147" s="25" t="s">
        <v>685</v>
      </c>
      <c r="L147" s="25">
        <v>44516</v>
      </c>
      <c r="M147" s="25">
        <v>2021</v>
      </c>
      <c r="N147" s="25">
        <v>41</v>
      </c>
      <c r="O147" s="25">
        <v>44559</v>
      </c>
      <c r="P147" s="25">
        <v>2021</v>
      </c>
      <c r="Q147" s="25">
        <v>41</v>
      </c>
      <c r="R147" s="25">
        <v>28</v>
      </c>
      <c r="S147" s="25">
        <v>29</v>
      </c>
      <c r="T147" s="25">
        <v>29</v>
      </c>
      <c r="U147" s="25">
        <v>0</v>
      </c>
      <c r="V147" s="25" t="s">
        <v>22</v>
      </c>
      <c r="W147" s="25" t="s">
        <v>261</v>
      </c>
      <c r="X147" s="25">
        <v>1.4137931034482758</v>
      </c>
    </row>
    <row r="148" spans="1:24">
      <c r="A148" s="25" t="s">
        <v>686</v>
      </c>
      <c r="B148" s="25" t="s">
        <v>687</v>
      </c>
      <c r="C148" s="25" t="s">
        <v>20</v>
      </c>
      <c r="D148" s="25" t="s">
        <v>21</v>
      </c>
      <c r="E148" s="25" t="s">
        <v>268</v>
      </c>
      <c r="F148" s="25" t="s">
        <v>23</v>
      </c>
      <c r="G148" s="25" t="s">
        <v>81</v>
      </c>
      <c r="H148" s="25" t="s">
        <v>25</v>
      </c>
      <c r="I148" s="25" t="s">
        <v>25</v>
      </c>
      <c r="J148" s="25">
        <v>44516</v>
      </c>
      <c r="K148" s="25" t="s">
        <v>688</v>
      </c>
      <c r="L148" s="25">
        <v>44516</v>
      </c>
      <c r="M148" s="25">
        <v>2021</v>
      </c>
      <c r="N148" s="25">
        <v>17</v>
      </c>
      <c r="O148" s="25">
        <v>44546</v>
      </c>
      <c r="P148" s="25">
        <v>2021</v>
      </c>
      <c r="Q148" s="25">
        <v>17</v>
      </c>
      <c r="R148" s="25">
        <v>2</v>
      </c>
      <c r="S148" s="25">
        <v>22</v>
      </c>
      <c r="T148" s="25">
        <v>22</v>
      </c>
      <c r="U148" s="25">
        <v>0</v>
      </c>
      <c r="V148" s="25" t="s">
        <v>22</v>
      </c>
      <c r="W148" s="25" t="s">
        <v>264</v>
      </c>
      <c r="X148" s="25">
        <v>0.77272727272727271</v>
      </c>
    </row>
    <row r="149" spans="1:24">
      <c r="A149" s="25" t="s">
        <v>689</v>
      </c>
      <c r="B149" s="25" t="s">
        <v>690</v>
      </c>
      <c r="C149" s="25" t="s">
        <v>20</v>
      </c>
      <c r="D149" s="25" t="s">
        <v>21</v>
      </c>
      <c r="E149" s="25" t="s">
        <v>268</v>
      </c>
      <c r="F149" s="25" t="s">
        <v>23</v>
      </c>
      <c r="G149" s="25" t="s">
        <v>269</v>
      </c>
      <c r="H149" s="25" t="s">
        <v>107</v>
      </c>
      <c r="I149" s="25" t="s">
        <v>107</v>
      </c>
      <c r="J149" s="25">
        <v>44517</v>
      </c>
      <c r="K149" s="25" t="s">
        <v>691</v>
      </c>
      <c r="L149" s="25">
        <v>44517</v>
      </c>
      <c r="M149" s="25">
        <v>2021</v>
      </c>
      <c r="N149" s="25">
        <v>110</v>
      </c>
      <c r="O149" s="25">
        <v>44547</v>
      </c>
      <c r="P149" s="25">
        <v>2021</v>
      </c>
      <c r="Q149" s="25">
        <v>110</v>
      </c>
      <c r="R149" s="25">
        <v>75</v>
      </c>
      <c r="S149" s="25">
        <v>22</v>
      </c>
      <c r="T149" s="25">
        <v>22</v>
      </c>
      <c r="U149" s="25">
        <v>0</v>
      </c>
      <c r="V149" s="25" t="s">
        <v>22</v>
      </c>
      <c r="W149" s="25" t="s">
        <v>261</v>
      </c>
      <c r="X149" s="25">
        <v>5</v>
      </c>
    </row>
    <row r="150" spans="1:24">
      <c r="A150" s="25" t="s">
        <v>692</v>
      </c>
      <c r="B150" s="25" t="s">
        <v>267</v>
      </c>
      <c r="C150" s="25" t="s">
        <v>20</v>
      </c>
      <c r="D150" s="25" t="s">
        <v>21</v>
      </c>
      <c r="E150" s="25" t="s">
        <v>268</v>
      </c>
      <c r="F150" s="25" t="s">
        <v>23</v>
      </c>
      <c r="G150" s="25" t="s">
        <v>269</v>
      </c>
      <c r="H150" s="25" t="s">
        <v>143</v>
      </c>
      <c r="I150" s="25" t="s">
        <v>107</v>
      </c>
      <c r="J150" s="25">
        <v>44522</v>
      </c>
      <c r="K150" s="25" t="s">
        <v>693</v>
      </c>
      <c r="L150" s="25">
        <v>44522</v>
      </c>
      <c r="M150" s="25">
        <v>2021</v>
      </c>
      <c r="N150" s="25">
        <v>290</v>
      </c>
      <c r="O150" s="25">
        <v>44652</v>
      </c>
      <c r="P150" s="25">
        <v>2022</v>
      </c>
      <c r="Q150" s="25">
        <v>290</v>
      </c>
      <c r="R150" s="25">
        <v>193</v>
      </c>
      <c r="S150" s="25">
        <v>90</v>
      </c>
      <c r="T150" s="25">
        <v>90</v>
      </c>
      <c r="U150" s="25">
        <v>0</v>
      </c>
      <c r="V150" s="25" t="s">
        <v>22</v>
      </c>
      <c r="W150" s="25" t="s">
        <v>261</v>
      </c>
      <c r="X150" s="25">
        <v>3.2222222222222223</v>
      </c>
    </row>
    <row r="151" spans="1:24">
      <c r="A151" s="25" t="s">
        <v>694</v>
      </c>
      <c r="B151" s="25" t="s">
        <v>638</v>
      </c>
      <c r="C151" s="25" t="s">
        <v>20</v>
      </c>
      <c r="D151" s="25" t="s">
        <v>21</v>
      </c>
      <c r="E151" s="25" t="s">
        <v>268</v>
      </c>
      <c r="F151" s="25" t="s">
        <v>616</v>
      </c>
      <c r="G151" s="25" t="s">
        <v>269</v>
      </c>
      <c r="H151" s="25" t="s">
        <v>152</v>
      </c>
      <c r="I151" s="25" t="s">
        <v>152</v>
      </c>
      <c r="J151" s="25">
        <v>44523</v>
      </c>
      <c r="K151" s="25" t="s">
        <v>695</v>
      </c>
      <c r="L151" s="25">
        <v>44523</v>
      </c>
      <c r="M151" s="25">
        <v>2021</v>
      </c>
      <c r="N151" s="25">
        <v>2</v>
      </c>
      <c r="O151" s="25">
        <v>44559</v>
      </c>
      <c r="P151" s="25">
        <v>2021</v>
      </c>
      <c r="Q151" s="25">
        <v>2</v>
      </c>
      <c r="R151" s="25">
        <v>1</v>
      </c>
      <c r="S151" s="25">
        <v>24</v>
      </c>
      <c r="T151" s="25">
        <v>24</v>
      </c>
      <c r="U151" s="25">
        <v>0</v>
      </c>
      <c r="V151" s="25" t="s">
        <v>22</v>
      </c>
      <c r="W151" s="25" t="s">
        <v>260</v>
      </c>
      <c r="X151" s="25">
        <v>8.3333333333333329E-2</v>
      </c>
    </row>
    <row r="152" spans="1:24">
      <c r="A152" s="25" t="s">
        <v>696</v>
      </c>
      <c r="B152" s="25" t="s">
        <v>312</v>
      </c>
      <c r="C152" s="25" t="s">
        <v>20</v>
      </c>
      <c r="D152" s="25" t="s">
        <v>21</v>
      </c>
      <c r="E152" s="25" t="s">
        <v>268</v>
      </c>
      <c r="F152" s="25" t="s">
        <v>616</v>
      </c>
      <c r="G152" s="25" t="s">
        <v>269</v>
      </c>
      <c r="H152" s="25" t="s">
        <v>69</v>
      </c>
      <c r="I152" s="25" t="s">
        <v>69</v>
      </c>
      <c r="J152" s="25">
        <v>44523</v>
      </c>
      <c r="K152" s="25" t="s">
        <v>697</v>
      </c>
      <c r="L152" s="25">
        <v>44523</v>
      </c>
      <c r="M152" s="25">
        <v>2021</v>
      </c>
      <c r="N152" s="25">
        <v>14</v>
      </c>
      <c r="O152" s="25">
        <v>44658</v>
      </c>
      <c r="P152" s="25">
        <v>2022</v>
      </c>
      <c r="Q152" s="25">
        <v>14</v>
      </c>
      <c r="R152" s="25">
        <v>3</v>
      </c>
      <c r="S152" s="25">
        <v>93</v>
      </c>
      <c r="T152" s="25">
        <v>93</v>
      </c>
      <c r="U152" s="25">
        <v>0</v>
      </c>
      <c r="V152" s="25" t="s">
        <v>22</v>
      </c>
      <c r="W152" s="25" t="s">
        <v>261</v>
      </c>
      <c r="X152" s="25">
        <v>0.15053763440860216</v>
      </c>
    </row>
    <row r="153" spans="1:24">
      <c r="A153" s="25" t="s">
        <v>698</v>
      </c>
      <c r="B153" s="25" t="s">
        <v>699</v>
      </c>
      <c r="C153" s="25" t="s">
        <v>20</v>
      </c>
      <c r="D153" s="25" t="s">
        <v>21</v>
      </c>
      <c r="E153" s="25" t="s">
        <v>268</v>
      </c>
      <c r="F153" s="25" t="s">
        <v>616</v>
      </c>
      <c r="G153" s="25" t="s">
        <v>269</v>
      </c>
      <c r="H153" s="25" t="s">
        <v>346</v>
      </c>
      <c r="I153" s="25" t="s">
        <v>69</v>
      </c>
      <c r="J153" s="25">
        <v>44525</v>
      </c>
      <c r="K153" s="25" t="s">
        <v>700</v>
      </c>
      <c r="L153" s="25">
        <v>44525</v>
      </c>
      <c r="M153" s="25">
        <v>2021</v>
      </c>
      <c r="N153" s="25">
        <v>6</v>
      </c>
      <c r="O153" s="25">
        <v>44559</v>
      </c>
      <c r="P153" s="25">
        <v>2021</v>
      </c>
      <c r="Q153" s="25">
        <v>6</v>
      </c>
      <c r="R153" s="25">
        <v>1</v>
      </c>
      <c r="S153" s="25">
        <v>22</v>
      </c>
      <c r="T153" s="25">
        <v>22</v>
      </c>
      <c r="U153" s="25">
        <v>0</v>
      </c>
      <c r="V153" s="25" t="s">
        <v>22</v>
      </c>
      <c r="W153" s="25" t="s">
        <v>262</v>
      </c>
      <c r="X153" s="25">
        <v>0.27272727272727271</v>
      </c>
    </row>
    <row r="154" spans="1:24">
      <c r="A154" s="25" t="s">
        <v>701</v>
      </c>
      <c r="B154" s="25" t="s">
        <v>702</v>
      </c>
      <c r="C154" s="25" t="s">
        <v>20</v>
      </c>
      <c r="D154" s="25" t="s">
        <v>21</v>
      </c>
      <c r="E154" s="25" t="s">
        <v>268</v>
      </c>
      <c r="F154" s="25" t="s">
        <v>616</v>
      </c>
      <c r="G154" s="25" t="s">
        <v>269</v>
      </c>
      <c r="H154" s="25" t="s">
        <v>152</v>
      </c>
      <c r="I154" s="25" t="s">
        <v>152</v>
      </c>
      <c r="J154" s="25">
        <v>44525</v>
      </c>
      <c r="K154" s="25" t="s">
        <v>703</v>
      </c>
      <c r="L154" s="25">
        <v>44525</v>
      </c>
      <c r="M154" s="25">
        <v>2021</v>
      </c>
      <c r="N154" s="25">
        <v>11</v>
      </c>
      <c r="O154" s="25">
        <v>44559</v>
      </c>
      <c r="P154" s="25">
        <v>2021</v>
      </c>
      <c r="Q154" s="25">
        <v>11</v>
      </c>
      <c r="R154" s="25">
        <v>11</v>
      </c>
      <c r="S154" s="25">
        <v>22</v>
      </c>
      <c r="T154" s="25">
        <v>22</v>
      </c>
      <c r="U154" s="25">
        <v>0</v>
      </c>
      <c r="V154" s="25" t="s">
        <v>22</v>
      </c>
      <c r="W154" s="25" t="s">
        <v>260</v>
      </c>
      <c r="X154" s="25">
        <v>0.5</v>
      </c>
    </row>
    <row r="155" spans="1:24">
      <c r="A155" s="25" t="s">
        <v>704</v>
      </c>
      <c r="B155" s="25" t="s">
        <v>489</v>
      </c>
      <c r="C155" s="25" t="s">
        <v>20</v>
      </c>
      <c r="D155" s="25" t="s">
        <v>21</v>
      </c>
      <c r="E155" s="25" t="s">
        <v>268</v>
      </c>
      <c r="F155" s="25" t="s">
        <v>616</v>
      </c>
      <c r="G155" s="25" t="s">
        <v>269</v>
      </c>
      <c r="H155" s="25" t="s">
        <v>37</v>
      </c>
      <c r="I155" s="25" t="s">
        <v>37</v>
      </c>
      <c r="J155" s="25">
        <v>44531</v>
      </c>
      <c r="K155" s="25" t="s">
        <v>705</v>
      </c>
      <c r="L155" s="25">
        <v>44533</v>
      </c>
      <c r="M155" s="25">
        <v>2021</v>
      </c>
      <c r="N155" s="25">
        <v>2</v>
      </c>
      <c r="O155" s="25">
        <v>44560</v>
      </c>
      <c r="P155" s="25">
        <v>2021</v>
      </c>
      <c r="Q155" s="25">
        <v>2</v>
      </c>
      <c r="R155" s="25">
        <v>1</v>
      </c>
      <c r="S155" s="25">
        <v>17</v>
      </c>
      <c r="T155" s="25">
        <v>17</v>
      </c>
      <c r="U155" s="25">
        <v>0</v>
      </c>
      <c r="V155" s="25" t="s">
        <v>22</v>
      </c>
      <c r="W155" s="25" t="s">
        <v>260</v>
      </c>
      <c r="X155" s="25">
        <v>0.11764705882352941</v>
      </c>
    </row>
    <row r="156" spans="1:24">
      <c r="A156" s="25" t="s">
        <v>706</v>
      </c>
      <c r="B156" s="25" t="s">
        <v>707</v>
      </c>
      <c r="C156" s="25" t="s">
        <v>20</v>
      </c>
      <c r="D156" s="25" t="s">
        <v>21</v>
      </c>
      <c r="E156" s="25" t="s">
        <v>268</v>
      </c>
      <c r="F156" s="25" t="s">
        <v>23</v>
      </c>
      <c r="G156" s="25" t="s">
        <v>269</v>
      </c>
      <c r="H156" s="25" t="s">
        <v>103</v>
      </c>
      <c r="I156" s="25" t="s">
        <v>65</v>
      </c>
      <c r="J156" s="25">
        <v>44536</v>
      </c>
      <c r="K156" s="25" t="s">
        <v>708</v>
      </c>
      <c r="L156" s="25">
        <v>44536</v>
      </c>
      <c r="M156" s="25">
        <v>2021</v>
      </c>
      <c r="N156" s="25">
        <v>234</v>
      </c>
      <c r="O156" s="25">
        <v>44785</v>
      </c>
      <c r="P156" s="25">
        <v>2022</v>
      </c>
      <c r="Q156" s="25">
        <v>234</v>
      </c>
      <c r="R156" s="25">
        <v>112</v>
      </c>
      <c r="S156" s="25">
        <v>167</v>
      </c>
      <c r="T156" s="25">
        <v>167</v>
      </c>
      <c r="U156" s="25">
        <v>0</v>
      </c>
      <c r="V156" s="25" t="s">
        <v>22</v>
      </c>
      <c r="W156" s="25" t="s">
        <v>262</v>
      </c>
      <c r="X156" s="25">
        <v>1.4011976047904191</v>
      </c>
    </row>
    <row r="157" spans="1:24">
      <c r="A157" s="25" t="s">
        <v>709</v>
      </c>
      <c r="B157" s="25" t="s">
        <v>710</v>
      </c>
      <c r="C157" s="25" t="s">
        <v>20</v>
      </c>
      <c r="D157" s="25" t="s">
        <v>21</v>
      </c>
      <c r="E157" s="25" t="s">
        <v>268</v>
      </c>
      <c r="F157" s="25" t="s">
        <v>667</v>
      </c>
      <c r="G157" s="25" t="s">
        <v>414</v>
      </c>
      <c r="H157" s="25" t="s">
        <v>65</v>
      </c>
      <c r="I157" s="25" t="s">
        <v>65</v>
      </c>
      <c r="J157" s="25">
        <v>44456</v>
      </c>
      <c r="K157" s="25" t="s">
        <v>711</v>
      </c>
      <c r="L157" s="25">
        <v>44456</v>
      </c>
      <c r="M157" s="25">
        <v>2021</v>
      </c>
      <c r="N157" s="25">
        <v>507</v>
      </c>
      <c r="O157" s="25">
        <v>44526</v>
      </c>
      <c r="P157" s="25">
        <v>2021</v>
      </c>
      <c r="Q157" s="25">
        <v>507</v>
      </c>
      <c r="R157" s="25">
        <v>298</v>
      </c>
      <c r="S157" s="25">
        <v>48</v>
      </c>
      <c r="T157" s="25">
        <v>48</v>
      </c>
      <c r="U157" s="25">
        <v>0</v>
      </c>
      <c r="V157" s="25" t="s">
        <v>22</v>
      </c>
      <c r="W157" s="25" t="s">
        <v>263</v>
      </c>
      <c r="X157" s="25">
        <v>10.5625</v>
      </c>
    </row>
    <row r="158" spans="1:24">
      <c r="A158" s="25" t="s">
        <v>712</v>
      </c>
      <c r="B158" s="25" t="s">
        <v>420</v>
      </c>
      <c r="C158" s="25" t="s">
        <v>20</v>
      </c>
      <c r="D158" s="25" t="s">
        <v>21</v>
      </c>
      <c r="E158" s="25" t="s">
        <v>268</v>
      </c>
      <c r="F158" s="25" t="s">
        <v>667</v>
      </c>
      <c r="G158" s="25" t="s">
        <v>269</v>
      </c>
      <c r="H158" s="25" t="s">
        <v>173</v>
      </c>
      <c r="I158" s="25" t="s">
        <v>173</v>
      </c>
      <c r="J158" s="25">
        <v>44329</v>
      </c>
      <c r="K158" s="25" t="s">
        <v>713</v>
      </c>
      <c r="L158" s="25">
        <v>44329</v>
      </c>
      <c r="M158" s="25">
        <v>2021</v>
      </c>
      <c r="N158" s="25">
        <v>30</v>
      </c>
      <c r="O158" s="25">
        <v>44414</v>
      </c>
      <c r="P158" s="25">
        <v>2021</v>
      </c>
      <c r="Q158" s="25">
        <v>30</v>
      </c>
      <c r="R158" s="25">
        <v>10</v>
      </c>
      <c r="S158" s="25">
        <v>59</v>
      </c>
      <c r="T158" s="25">
        <v>59</v>
      </c>
      <c r="U158" s="25">
        <v>0</v>
      </c>
      <c r="V158" s="25" t="s">
        <v>22</v>
      </c>
      <c r="W158" s="25" t="s">
        <v>263</v>
      </c>
      <c r="X158" s="25">
        <v>0.50847457627118642</v>
      </c>
    </row>
    <row r="159" spans="1:24">
      <c r="A159" s="25" t="s">
        <v>714</v>
      </c>
      <c r="B159" s="25" t="s">
        <v>294</v>
      </c>
      <c r="C159" s="25" t="s">
        <v>20</v>
      </c>
      <c r="D159" s="25" t="s">
        <v>21</v>
      </c>
      <c r="E159" s="25" t="s">
        <v>268</v>
      </c>
      <c r="F159" s="25" t="s">
        <v>667</v>
      </c>
      <c r="G159" s="25" t="s">
        <v>269</v>
      </c>
      <c r="H159" s="25" t="s">
        <v>143</v>
      </c>
      <c r="I159" s="25" t="s">
        <v>107</v>
      </c>
      <c r="J159" s="25">
        <v>44413</v>
      </c>
      <c r="K159" s="25" t="s">
        <v>715</v>
      </c>
      <c r="L159" s="25">
        <v>44413</v>
      </c>
      <c r="M159" s="25">
        <v>2021</v>
      </c>
      <c r="N159" s="25">
        <v>1</v>
      </c>
      <c r="O159" s="25">
        <v>44560</v>
      </c>
      <c r="P159" s="25">
        <v>2021</v>
      </c>
      <c r="Q159" s="25">
        <v>1</v>
      </c>
      <c r="R159" s="25">
        <v>1</v>
      </c>
      <c r="S159" s="25">
        <v>99</v>
      </c>
      <c r="T159" s="25">
        <v>99</v>
      </c>
      <c r="U159" s="25">
        <v>0</v>
      </c>
      <c r="V159" s="25" t="s">
        <v>22</v>
      </c>
      <c r="W159" s="25" t="s">
        <v>261</v>
      </c>
      <c r="X159" s="25">
        <v>1.0101010101010102E-2</v>
      </c>
    </row>
    <row r="160" spans="1:24">
      <c r="A160" s="25" t="s">
        <v>716</v>
      </c>
      <c r="B160" s="25" t="s">
        <v>495</v>
      </c>
      <c r="C160" s="25" t="s">
        <v>20</v>
      </c>
      <c r="D160" s="25" t="s">
        <v>21</v>
      </c>
      <c r="E160" s="25" t="s">
        <v>268</v>
      </c>
      <c r="F160" s="25" t="s">
        <v>667</v>
      </c>
      <c r="G160" s="25" t="s">
        <v>269</v>
      </c>
      <c r="H160" s="25" t="s">
        <v>36</v>
      </c>
      <c r="I160" s="25" t="s">
        <v>37</v>
      </c>
      <c r="J160" s="25">
        <v>44412</v>
      </c>
      <c r="K160" s="25" t="s">
        <v>717</v>
      </c>
      <c r="L160" s="25">
        <v>44413</v>
      </c>
      <c r="M160" s="25">
        <v>2021</v>
      </c>
      <c r="N160" s="25">
        <v>38</v>
      </c>
      <c r="O160" s="25">
        <v>44481</v>
      </c>
      <c r="P160" s="25">
        <v>2021</v>
      </c>
      <c r="Q160" s="25">
        <v>38</v>
      </c>
      <c r="R160" s="25">
        <v>11</v>
      </c>
      <c r="S160" s="25">
        <v>47</v>
      </c>
      <c r="T160" s="25">
        <v>47</v>
      </c>
      <c r="U160" s="25">
        <v>0</v>
      </c>
      <c r="V160" s="25" t="s">
        <v>22</v>
      </c>
      <c r="W160" s="25" t="s">
        <v>264</v>
      </c>
      <c r="X160" s="25">
        <v>0.80851063829787229</v>
      </c>
    </row>
    <row r="161" spans="1:24">
      <c r="A161" s="25" t="s">
        <v>718</v>
      </c>
      <c r="B161" s="25" t="s">
        <v>719</v>
      </c>
      <c r="C161" s="25" t="s">
        <v>20</v>
      </c>
      <c r="D161" s="25" t="s">
        <v>21</v>
      </c>
      <c r="E161" s="25" t="s">
        <v>268</v>
      </c>
      <c r="F161" s="25" t="s">
        <v>667</v>
      </c>
      <c r="G161" s="25" t="s">
        <v>414</v>
      </c>
      <c r="H161" s="25" t="s">
        <v>37</v>
      </c>
      <c r="I161" s="25" t="s">
        <v>37</v>
      </c>
      <c r="J161" s="25">
        <v>44456</v>
      </c>
      <c r="K161" s="25" t="s">
        <v>720</v>
      </c>
      <c r="L161" s="25">
        <v>44456</v>
      </c>
      <c r="M161" s="25">
        <v>2021</v>
      </c>
      <c r="N161" s="25">
        <v>31</v>
      </c>
      <c r="O161" s="25">
        <v>44561</v>
      </c>
      <c r="P161" s="25">
        <v>2021</v>
      </c>
      <c r="Q161" s="25">
        <v>31</v>
      </c>
      <c r="R161" s="25">
        <v>8</v>
      </c>
      <c r="S161" s="25">
        <v>69</v>
      </c>
      <c r="T161" s="25">
        <v>69</v>
      </c>
      <c r="U161" s="25">
        <v>0</v>
      </c>
      <c r="V161" s="25" t="s">
        <v>22</v>
      </c>
      <c r="W161" s="25" t="s">
        <v>260</v>
      </c>
      <c r="X161" s="25">
        <v>0.44927536231884058</v>
      </c>
    </row>
    <row r="162" spans="1:24">
      <c r="A162" s="25" t="s">
        <v>721</v>
      </c>
      <c r="B162" s="25" t="s">
        <v>647</v>
      </c>
      <c r="C162" s="25" t="s">
        <v>20</v>
      </c>
      <c r="D162" s="25" t="s">
        <v>21</v>
      </c>
      <c r="E162" s="25" t="s">
        <v>268</v>
      </c>
      <c r="F162" s="25" t="s">
        <v>667</v>
      </c>
      <c r="G162" s="25" t="s">
        <v>269</v>
      </c>
      <c r="H162" s="25" t="s">
        <v>127</v>
      </c>
      <c r="I162" s="25" t="s">
        <v>127</v>
      </c>
      <c r="J162" s="25">
        <v>44412</v>
      </c>
      <c r="K162" s="25" t="s">
        <v>722</v>
      </c>
      <c r="L162" s="25">
        <v>44412</v>
      </c>
      <c r="M162" s="25">
        <v>2021</v>
      </c>
      <c r="N162" s="25">
        <v>50</v>
      </c>
      <c r="O162" s="25">
        <v>44561</v>
      </c>
      <c r="P162" s="25">
        <v>2021</v>
      </c>
      <c r="Q162" s="25">
        <v>50</v>
      </c>
      <c r="R162" s="25">
        <v>7</v>
      </c>
      <c r="S162" s="25">
        <v>100</v>
      </c>
      <c r="T162" s="25">
        <v>100</v>
      </c>
      <c r="U162" s="25">
        <v>0</v>
      </c>
      <c r="V162" s="25" t="s">
        <v>22</v>
      </c>
      <c r="W162" s="25" t="s">
        <v>262</v>
      </c>
      <c r="X162" s="25">
        <v>0.5</v>
      </c>
    </row>
    <row r="163" spans="1:24">
      <c r="A163" s="25" t="s">
        <v>723</v>
      </c>
      <c r="B163" s="25" t="s">
        <v>724</v>
      </c>
      <c r="C163" s="25" t="s">
        <v>20</v>
      </c>
      <c r="D163" s="25" t="s">
        <v>21</v>
      </c>
      <c r="E163" s="25" t="s">
        <v>268</v>
      </c>
      <c r="F163" s="25" t="s">
        <v>23</v>
      </c>
      <c r="G163" s="25" t="s">
        <v>414</v>
      </c>
      <c r="H163" s="25" t="s">
        <v>107</v>
      </c>
      <c r="I163" s="25" t="s">
        <v>107</v>
      </c>
      <c r="J163" s="25">
        <v>44563</v>
      </c>
      <c r="K163" s="25" t="s">
        <v>725</v>
      </c>
      <c r="L163" s="25">
        <v>44563</v>
      </c>
      <c r="M163" s="25">
        <v>2022</v>
      </c>
      <c r="N163" s="25">
        <v>310</v>
      </c>
      <c r="O163" s="25">
        <v>44648</v>
      </c>
      <c r="P163" s="25">
        <v>2022</v>
      </c>
      <c r="Q163" s="25">
        <v>310</v>
      </c>
      <c r="R163" s="25">
        <v>240</v>
      </c>
      <c r="S163" s="25">
        <v>60</v>
      </c>
      <c r="T163" s="25">
        <v>60</v>
      </c>
      <c r="U163" s="25">
        <v>0</v>
      </c>
      <c r="V163" s="25" t="s">
        <v>22</v>
      </c>
      <c r="W163" s="25" t="s">
        <v>261</v>
      </c>
      <c r="X163" s="25">
        <v>5.166666666666667</v>
      </c>
    </row>
    <row r="164" spans="1:24">
      <c r="A164" s="25" t="s">
        <v>726</v>
      </c>
      <c r="B164" s="25" t="s">
        <v>727</v>
      </c>
      <c r="C164" s="25" t="s">
        <v>20</v>
      </c>
      <c r="D164" s="25" t="s">
        <v>21</v>
      </c>
      <c r="E164" s="25" t="s">
        <v>268</v>
      </c>
      <c r="F164" s="25" t="s">
        <v>23</v>
      </c>
      <c r="G164" s="25" t="s">
        <v>269</v>
      </c>
      <c r="H164" s="25" t="s">
        <v>429</v>
      </c>
      <c r="I164" s="25" t="s">
        <v>107</v>
      </c>
      <c r="J164" s="25">
        <v>44669</v>
      </c>
      <c r="K164" s="25" t="s">
        <v>728</v>
      </c>
      <c r="L164" s="25">
        <v>44669</v>
      </c>
      <c r="M164" s="25">
        <v>2022</v>
      </c>
      <c r="N164" s="25">
        <v>328</v>
      </c>
      <c r="O164" s="25">
        <v>44809</v>
      </c>
      <c r="P164" s="25">
        <v>2022</v>
      </c>
      <c r="Q164" s="25">
        <v>328</v>
      </c>
      <c r="R164" s="25"/>
      <c r="S164" s="25">
        <v>57</v>
      </c>
      <c r="T164" s="25">
        <v>93</v>
      </c>
      <c r="U164" s="25">
        <v>0</v>
      </c>
      <c r="V164" s="25" t="s">
        <v>22</v>
      </c>
      <c r="W164" s="25" t="s">
        <v>264</v>
      </c>
      <c r="X164" s="25">
        <v>3.5268817204301075</v>
      </c>
    </row>
    <row r="165" spans="1:24">
      <c r="A165" s="25" t="s">
        <v>729</v>
      </c>
      <c r="B165" s="25" t="s">
        <v>355</v>
      </c>
      <c r="C165" s="25" t="s">
        <v>20</v>
      </c>
      <c r="D165" s="25" t="s">
        <v>21</v>
      </c>
      <c r="E165" s="25" t="s">
        <v>268</v>
      </c>
      <c r="F165" s="25" t="s">
        <v>23</v>
      </c>
      <c r="G165" s="25" t="s">
        <v>269</v>
      </c>
      <c r="H165" s="25" t="s">
        <v>148</v>
      </c>
      <c r="I165" s="25" t="s">
        <v>148</v>
      </c>
      <c r="J165" s="25">
        <v>44670</v>
      </c>
      <c r="K165" s="25" t="s">
        <v>730</v>
      </c>
      <c r="L165" s="25">
        <v>44671</v>
      </c>
      <c r="M165" s="25">
        <v>2022</v>
      </c>
      <c r="N165" s="25">
        <v>153</v>
      </c>
      <c r="O165" s="25">
        <v>44907</v>
      </c>
      <c r="P165" s="25">
        <v>2022</v>
      </c>
      <c r="Q165" s="25">
        <v>153</v>
      </c>
      <c r="R165" s="25">
        <v>82</v>
      </c>
      <c r="S165" s="25">
        <v>156</v>
      </c>
      <c r="T165" s="25">
        <v>156</v>
      </c>
      <c r="U165" s="25">
        <v>0</v>
      </c>
      <c r="V165" s="25" t="s">
        <v>22</v>
      </c>
      <c r="W165" s="25" t="s">
        <v>260</v>
      </c>
      <c r="X165" s="25">
        <v>0.98076923076923073</v>
      </c>
    </row>
    <row r="166" spans="1:24">
      <c r="A166" s="25" t="s">
        <v>731</v>
      </c>
      <c r="B166" s="25" t="s">
        <v>732</v>
      </c>
      <c r="C166" s="25" t="s">
        <v>20</v>
      </c>
      <c r="D166" s="25" t="s">
        <v>21</v>
      </c>
      <c r="E166" s="25" t="s">
        <v>268</v>
      </c>
      <c r="F166" s="25" t="s">
        <v>23</v>
      </c>
      <c r="G166" s="25" t="s">
        <v>269</v>
      </c>
      <c r="H166" s="25" t="s">
        <v>143</v>
      </c>
      <c r="I166" s="25" t="s">
        <v>107</v>
      </c>
      <c r="J166" s="25">
        <v>44670</v>
      </c>
      <c r="K166" s="25" t="s">
        <v>733</v>
      </c>
      <c r="L166" s="25">
        <v>44672</v>
      </c>
      <c r="M166" s="25">
        <v>2022</v>
      </c>
      <c r="N166" s="25">
        <v>155</v>
      </c>
      <c r="O166" s="25">
        <v>44701</v>
      </c>
      <c r="P166" s="25">
        <v>2022</v>
      </c>
      <c r="Q166" s="25">
        <v>155</v>
      </c>
      <c r="R166" s="25">
        <v>53</v>
      </c>
      <c r="S166" s="25">
        <v>0</v>
      </c>
      <c r="T166" s="25">
        <v>21</v>
      </c>
      <c r="U166" s="25">
        <v>0</v>
      </c>
      <c r="V166" s="25" t="s">
        <v>22</v>
      </c>
      <c r="W166" s="25" t="s">
        <v>261</v>
      </c>
      <c r="X166" s="25">
        <v>7.3809523809523814</v>
      </c>
    </row>
    <row r="167" spans="1:24">
      <c r="A167" s="25" t="s">
        <v>734</v>
      </c>
      <c r="B167" s="25" t="s">
        <v>735</v>
      </c>
      <c r="C167" s="25" t="s">
        <v>20</v>
      </c>
      <c r="D167" s="25" t="s">
        <v>21</v>
      </c>
      <c r="E167" s="25" t="s">
        <v>268</v>
      </c>
      <c r="F167" s="25" t="s">
        <v>667</v>
      </c>
      <c r="G167" s="25" t="s">
        <v>414</v>
      </c>
      <c r="H167" s="25" t="s">
        <v>127</v>
      </c>
      <c r="I167" s="25" t="s">
        <v>127</v>
      </c>
      <c r="J167" s="25">
        <v>44673</v>
      </c>
      <c r="K167" s="25" t="s">
        <v>736</v>
      </c>
      <c r="L167" s="25">
        <v>44673</v>
      </c>
      <c r="M167" s="25">
        <v>2022</v>
      </c>
      <c r="N167" s="25">
        <v>42</v>
      </c>
      <c r="O167" s="25">
        <v>44806</v>
      </c>
      <c r="P167" s="25">
        <v>2022</v>
      </c>
      <c r="Q167" s="25">
        <v>25</v>
      </c>
      <c r="R167" s="25">
        <v>14</v>
      </c>
      <c r="S167" s="25">
        <v>78</v>
      </c>
      <c r="T167" s="25">
        <v>88</v>
      </c>
      <c r="U167" s="25">
        <v>0</v>
      </c>
      <c r="V167" s="25" t="s">
        <v>22</v>
      </c>
      <c r="W167" s="25" t="s">
        <v>262</v>
      </c>
      <c r="X167" s="25">
        <v>0.28409090909090912</v>
      </c>
    </row>
    <row r="168" spans="1:24">
      <c r="A168" s="25" t="s">
        <v>737</v>
      </c>
      <c r="B168" s="25" t="s">
        <v>738</v>
      </c>
      <c r="C168" s="25" t="s">
        <v>20</v>
      </c>
      <c r="D168" s="25" t="s">
        <v>21</v>
      </c>
      <c r="E168" s="25" t="s">
        <v>268</v>
      </c>
      <c r="F168" s="25" t="s">
        <v>23</v>
      </c>
      <c r="G168" s="25" t="s">
        <v>269</v>
      </c>
      <c r="H168" s="25" t="s">
        <v>25</v>
      </c>
      <c r="I168" s="25" t="s">
        <v>25</v>
      </c>
      <c r="J168" s="25">
        <v>44679</v>
      </c>
      <c r="K168" s="25" t="s">
        <v>739</v>
      </c>
      <c r="L168" s="25">
        <v>44680</v>
      </c>
      <c r="M168" s="25">
        <v>2022</v>
      </c>
      <c r="N168" s="25">
        <v>75</v>
      </c>
      <c r="O168" s="25">
        <v>44816</v>
      </c>
      <c r="P168" s="25">
        <v>2022</v>
      </c>
      <c r="Q168" s="25">
        <v>72</v>
      </c>
      <c r="R168" s="25"/>
      <c r="S168" s="25">
        <v>25</v>
      </c>
      <c r="T168" s="25">
        <v>89</v>
      </c>
      <c r="U168" s="25">
        <v>0</v>
      </c>
      <c r="V168" s="25" t="s">
        <v>22</v>
      </c>
      <c r="W168" s="25" t="s">
        <v>264</v>
      </c>
      <c r="X168" s="25">
        <v>0.8089887640449438</v>
      </c>
    </row>
    <row r="169" spans="1:24">
      <c r="A169" s="25" t="s">
        <v>740</v>
      </c>
      <c r="B169" s="25" t="s">
        <v>741</v>
      </c>
      <c r="C169" s="25" t="s">
        <v>20</v>
      </c>
      <c r="D169" s="25" t="s">
        <v>21</v>
      </c>
      <c r="E169" s="25" t="s">
        <v>268</v>
      </c>
      <c r="F169" s="25" t="s">
        <v>23</v>
      </c>
      <c r="G169" s="25" t="s">
        <v>269</v>
      </c>
      <c r="H169" s="25" t="s">
        <v>159</v>
      </c>
      <c r="I169" s="25" t="s">
        <v>159</v>
      </c>
      <c r="J169" s="25">
        <v>44679</v>
      </c>
      <c r="K169" s="25" t="s">
        <v>742</v>
      </c>
      <c r="L169" s="25">
        <v>44680</v>
      </c>
      <c r="M169" s="25">
        <v>2022</v>
      </c>
      <c r="N169" s="25">
        <v>338</v>
      </c>
      <c r="O169" s="25">
        <v>44807</v>
      </c>
      <c r="P169" s="25">
        <v>2022</v>
      </c>
      <c r="Q169" s="25">
        <v>286</v>
      </c>
      <c r="R169" s="25">
        <v>116</v>
      </c>
      <c r="S169" s="25">
        <v>83</v>
      </c>
      <c r="T169" s="25">
        <v>83</v>
      </c>
      <c r="U169" s="25">
        <v>0</v>
      </c>
      <c r="V169" s="25" t="s">
        <v>22</v>
      </c>
      <c r="W169" s="25" t="s">
        <v>261</v>
      </c>
      <c r="X169" s="25">
        <v>3.4457831325301207</v>
      </c>
    </row>
    <row r="170" spans="1:24">
      <c r="A170" s="25" t="s">
        <v>743</v>
      </c>
      <c r="B170" s="25" t="s">
        <v>744</v>
      </c>
      <c r="C170" s="25" t="s">
        <v>20</v>
      </c>
      <c r="D170" s="25" t="s">
        <v>21</v>
      </c>
      <c r="E170" s="25" t="s">
        <v>268</v>
      </c>
      <c r="F170" s="25" t="s">
        <v>23</v>
      </c>
      <c r="G170" s="25" t="s">
        <v>269</v>
      </c>
      <c r="H170" s="25" t="s">
        <v>143</v>
      </c>
      <c r="I170" s="25" t="s">
        <v>107</v>
      </c>
      <c r="J170" s="25">
        <v>44680</v>
      </c>
      <c r="K170" s="25" t="s">
        <v>745</v>
      </c>
      <c r="L170" s="25">
        <v>44680</v>
      </c>
      <c r="M170" s="25">
        <v>2022</v>
      </c>
      <c r="N170" s="25">
        <v>260</v>
      </c>
      <c r="O170" s="25">
        <v>44791</v>
      </c>
      <c r="P170" s="25">
        <v>2022</v>
      </c>
      <c r="Q170" s="25">
        <v>252</v>
      </c>
      <c r="R170" s="25"/>
      <c r="S170" s="25">
        <v>63</v>
      </c>
      <c r="T170" s="25">
        <v>74</v>
      </c>
      <c r="U170" s="25">
        <v>0</v>
      </c>
      <c r="V170" s="25" t="s">
        <v>22</v>
      </c>
      <c r="W170" s="25" t="s">
        <v>261</v>
      </c>
      <c r="X170" s="25">
        <v>3.4054054054054053</v>
      </c>
    </row>
    <row r="171" spans="1:24">
      <c r="A171" s="25" t="s">
        <v>746</v>
      </c>
      <c r="B171" s="25" t="s">
        <v>279</v>
      </c>
      <c r="C171" s="25" t="s">
        <v>20</v>
      </c>
      <c r="D171" s="25" t="s">
        <v>21</v>
      </c>
      <c r="E171" s="25" t="s">
        <v>268</v>
      </c>
      <c r="F171" s="25" t="s">
        <v>23</v>
      </c>
      <c r="G171" s="25" t="s">
        <v>269</v>
      </c>
      <c r="H171" s="25" t="s">
        <v>107</v>
      </c>
      <c r="I171" s="25" t="s">
        <v>107</v>
      </c>
      <c r="J171" s="25">
        <v>44680</v>
      </c>
      <c r="K171" s="25" t="s">
        <v>747</v>
      </c>
      <c r="L171" s="25">
        <v>44680</v>
      </c>
      <c r="M171" s="25">
        <v>2022</v>
      </c>
      <c r="N171" s="25">
        <v>67</v>
      </c>
      <c r="O171" s="25">
        <v>44778</v>
      </c>
      <c r="P171" s="25">
        <v>2022</v>
      </c>
      <c r="Q171" s="25">
        <v>49</v>
      </c>
      <c r="R171" s="25">
        <v>30</v>
      </c>
      <c r="S171" s="25">
        <v>51</v>
      </c>
      <c r="T171" s="25">
        <v>65</v>
      </c>
      <c r="U171" s="25">
        <v>0</v>
      </c>
      <c r="V171" s="25" t="s">
        <v>22</v>
      </c>
      <c r="W171" s="25" t="s">
        <v>261</v>
      </c>
      <c r="X171" s="25">
        <v>0.75384615384615383</v>
      </c>
    </row>
    <row r="172" spans="1:24">
      <c r="A172" s="25" t="s">
        <v>748</v>
      </c>
      <c r="B172" s="25" t="s">
        <v>749</v>
      </c>
      <c r="C172" s="25" t="s">
        <v>20</v>
      </c>
      <c r="D172" s="25" t="s">
        <v>21</v>
      </c>
      <c r="E172" s="25" t="s">
        <v>268</v>
      </c>
      <c r="F172" s="25" t="s">
        <v>23</v>
      </c>
      <c r="G172" s="25" t="s">
        <v>269</v>
      </c>
      <c r="H172" s="25" t="s">
        <v>143</v>
      </c>
      <c r="I172" s="25" t="s">
        <v>107</v>
      </c>
      <c r="J172" s="25">
        <v>44680</v>
      </c>
      <c r="K172" s="25" t="s">
        <v>750</v>
      </c>
      <c r="L172" s="25">
        <v>44680</v>
      </c>
      <c r="M172" s="25">
        <v>2022</v>
      </c>
      <c r="N172" s="25">
        <v>106</v>
      </c>
      <c r="O172" s="25">
        <v>44897</v>
      </c>
      <c r="P172" s="25">
        <v>2022</v>
      </c>
      <c r="Q172" s="25">
        <v>106</v>
      </c>
      <c r="R172" s="25">
        <v>70</v>
      </c>
      <c r="S172" s="25">
        <v>57</v>
      </c>
      <c r="T172" s="25">
        <v>145</v>
      </c>
      <c r="U172" s="25">
        <v>0</v>
      </c>
      <c r="V172" s="25" t="s">
        <v>22</v>
      </c>
      <c r="W172" s="25" t="s">
        <v>261</v>
      </c>
      <c r="X172" s="25">
        <v>0.73103448275862071</v>
      </c>
    </row>
    <row r="173" spans="1:24">
      <c r="A173" s="25" t="s">
        <v>751</v>
      </c>
      <c r="B173" s="25" t="s">
        <v>735</v>
      </c>
      <c r="C173" s="25" t="s">
        <v>20</v>
      </c>
      <c r="D173" s="25" t="s">
        <v>21</v>
      </c>
      <c r="E173" s="25" t="s">
        <v>268</v>
      </c>
      <c r="F173" s="25" t="s">
        <v>667</v>
      </c>
      <c r="G173" s="25" t="s">
        <v>414</v>
      </c>
      <c r="H173" s="25" t="s">
        <v>127</v>
      </c>
      <c r="I173" s="25" t="s">
        <v>127</v>
      </c>
      <c r="J173" s="25">
        <v>44680</v>
      </c>
      <c r="K173" s="25" t="s">
        <v>752</v>
      </c>
      <c r="L173" s="25">
        <v>44683</v>
      </c>
      <c r="M173" s="25">
        <v>2022</v>
      </c>
      <c r="N173" s="25">
        <v>170</v>
      </c>
      <c r="O173" s="25">
        <v>44806</v>
      </c>
      <c r="P173" s="25">
        <v>2022</v>
      </c>
      <c r="Q173" s="25">
        <v>118</v>
      </c>
      <c r="R173" s="25">
        <v>23</v>
      </c>
      <c r="S173" s="25">
        <v>78</v>
      </c>
      <c r="T173" s="25">
        <v>82</v>
      </c>
      <c r="U173" s="25">
        <v>0</v>
      </c>
      <c r="V173" s="25" t="s">
        <v>22</v>
      </c>
      <c r="W173" s="25" t="s">
        <v>262</v>
      </c>
      <c r="X173" s="25">
        <v>1.4390243902439024</v>
      </c>
    </row>
    <row r="174" spans="1:24">
      <c r="A174" s="25" t="s">
        <v>753</v>
      </c>
      <c r="B174" s="25" t="s">
        <v>754</v>
      </c>
      <c r="C174" s="25" t="s">
        <v>20</v>
      </c>
      <c r="D174" s="25" t="s">
        <v>21</v>
      </c>
      <c r="E174" s="25" t="s">
        <v>268</v>
      </c>
      <c r="F174" s="25" t="s">
        <v>23</v>
      </c>
      <c r="G174" s="25" t="s">
        <v>269</v>
      </c>
      <c r="H174" s="25" t="s">
        <v>25</v>
      </c>
      <c r="I174" s="25" t="s">
        <v>25</v>
      </c>
      <c r="J174" s="25">
        <v>44680</v>
      </c>
      <c r="K174" s="25" t="s">
        <v>755</v>
      </c>
      <c r="L174" s="25">
        <v>44684</v>
      </c>
      <c r="M174" s="25">
        <v>2022</v>
      </c>
      <c r="N174" s="25">
        <v>39</v>
      </c>
      <c r="O174" s="25">
        <v>44720</v>
      </c>
      <c r="P174" s="25">
        <v>2022</v>
      </c>
      <c r="Q174" s="25">
        <v>39</v>
      </c>
      <c r="R174" s="25">
        <v>1</v>
      </c>
      <c r="S174" s="25">
        <v>17</v>
      </c>
      <c r="T174" s="25">
        <v>27</v>
      </c>
      <c r="U174" s="25">
        <v>0</v>
      </c>
      <c r="V174" s="25" t="s">
        <v>22</v>
      </c>
      <c r="W174" s="25" t="s">
        <v>264</v>
      </c>
      <c r="X174" s="25">
        <v>1.4444444444444444</v>
      </c>
    </row>
    <row r="175" spans="1:24">
      <c r="A175" s="25" t="s">
        <v>18</v>
      </c>
      <c r="B175" s="25" t="s">
        <v>19</v>
      </c>
      <c r="C175" s="25" t="s">
        <v>20</v>
      </c>
      <c r="D175" s="25" t="s">
        <v>21</v>
      </c>
      <c r="E175" s="25" t="s">
        <v>268</v>
      </c>
      <c r="F175" s="25" t="s">
        <v>23</v>
      </c>
      <c r="G175" s="25" t="s">
        <v>24</v>
      </c>
      <c r="H175" s="25" t="s">
        <v>25</v>
      </c>
      <c r="I175" s="25" t="s">
        <v>25</v>
      </c>
      <c r="J175" s="25">
        <v>44686</v>
      </c>
      <c r="K175" s="25" t="s">
        <v>26</v>
      </c>
      <c r="L175" s="25">
        <v>44687</v>
      </c>
      <c r="M175" s="25">
        <v>2022</v>
      </c>
      <c r="N175" s="25">
        <v>36</v>
      </c>
      <c r="O175" s="25">
        <v>44768</v>
      </c>
      <c r="P175" s="25">
        <v>2022</v>
      </c>
      <c r="Q175" s="25">
        <v>20</v>
      </c>
      <c r="R175" s="25">
        <v>2</v>
      </c>
      <c r="S175" s="25">
        <v>0</v>
      </c>
      <c r="T175" s="25">
        <v>55</v>
      </c>
      <c r="U175" s="25">
        <v>0</v>
      </c>
      <c r="V175" s="25" t="s">
        <v>22</v>
      </c>
      <c r="W175" s="25" t="s">
        <v>264</v>
      </c>
      <c r="X175" s="25">
        <v>0.36363636363636365</v>
      </c>
    </row>
    <row r="176" spans="1:24">
      <c r="A176" s="25" t="s">
        <v>756</v>
      </c>
      <c r="B176" s="25" t="s">
        <v>682</v>
      </c>
      <c r="C176" s="25" t="s">
        <v>20</v>
      </c>
      <c r="D176" s="25" t="s">
        <v>21</v>
      </c>
      <c r="E176" s="25" t="s">
        <v>268</v>
      </c>
      <c r="F176" s="25" t="s">
        <v>23</v>
      </c>
      <c r="G176" s="25" t="s">
        <v>269</v>
      </c>
      <c r="H176" s="25" t="s">
        <v>159</v>
      </c>
      <c r="I176" s="25" t="s">
        <v>159</v>
      </c>
      <c r="J176" s="25">
        <v>44694</v>
      </c>
      <c r="K176" s="25" t="s">
        <v>757</v>
      </c>
      <c r="L176" s="25">
        <v>44694</v>
      </c>
      <c r="M176" s="25">
        <v>2022</v>
      </c>
      <c r="N176" s="25">
        <v>273</v>
      </c>
      <c r="O176" s="25">
        <v>44746</v>
      </c>
      <c r="P176" s="25">
        <v>2022</v>
      </c>
      <c r="Q176" s="25">
        <v>244</v>
      </c>
      <c r="R176" s="25">
        <v>108</v>
      </c>
      <c r="S176" s="25">
        <v>34</v>
      </c>
      <c r="T176" s="25">
        <v>34</v>
      </c>
      <c r="U176" s="25">
        <v>0</v>
      </c>
      <c r="V176" s="25" t="s">
        <v>22</v>
      </c>
      <c r="W176" s="25" t="s">
        <v>261</v>
      </c>
      <c r="X176" s="25">
        <v>7.1764705882352944</v>
      </c>
    </row>
    <row r="177" spans="1:24">
      <c r="A177" s="25" t="s">
        <v>758</v>
      </c>
      <c r="B177" s="25" t="s">
        <v>759</v>
      </c>
      <c r="C177" s="25" t="s">
        <v>20</v>
      </c>
      <c r="D177" s="25" t="s">
        <v>21</v>
      </c>
      <c r="E177" s="25" t="s">
        <v>268</v>
      </c>
      <c r="F177" s="25" t="s">
        <v>23</v>
      </c>
      <c r="G177" s="25" t="s">
        <v>269</v>
      </c>
      <c r="H177" s="25" t="s">
        <v>107</v>
      </c>
      <c r="I177" s="25" t="s">
        <v>25</v>
      </c>
      <c r="J177" s="25">
        <v>44697</v>
      </c>
      <c r="K177" s="25" t="s">
        <v>760</v>
      </c>
      <c r="L177" s="25">
        <v>44697</v>
      </c>
      <c r="M177" s="25">
        <v>2022</v>
      </c>
      <c r="N177" s="25">
        <v>58</v>
      </c>
      <c r="O177" s="25">
        <v>44743</v>
      </c>
      <c r="P177" s="25">
        <v>2022</v>
      </c>
      <c r="Q177" s="25">
        <v>58</v>
      </c>
      <c r="R177" s="25">
        <v>45</v>
      </c>
      <c r="S177" s="25">
        <v>20</v>
      </c>
      <c r="T177" s="25">
        <v>32</v>
      </c>
      <c r="U177" s="25">
        <v>0</v>
      </c>
      <c r="V177" s="25" t="s">
        <v>22</v>
      </c>
      <c r="W177" s="25" t="s">
        <v>261</v>
      </c>
      <c r="X177" s="25">
        <v>1.8125</v>
      </c>
    </row>
    <row r="178" spans="1:24">
      <c r="A178" s="25" t="s">
        <v>761</v>
      </c>
      <c r="B178" s="25" t="s">
        <v>710</v>
      </c>
      <c r="C178" s="25" t="s">
        <v>20</v>
      </c>
      <c r="D178" s="25" t="s">
        <v>21</v>
      </c>
      <c r="E178" s="25" t="s">
        <v>268</v>
      </c>
      <c r="F178" s="25" t="s">
        <v>667</v>
      </c>
      <c r="G178" s="25" t="s">
        <v>414</v>
      </c>
      <c r="H178" s="25" t="s">
        <v>65</v>
      </c>
      <c r="I178" s="25" t="s">
        <v>65</v>
      </c>
      <c r="J178" s="25">
        <v>44456</v>
      </c>
      <c r="K178" s="25" t="s">
        <v>762</v>
      </c>
      <c r="L178" s="25">
        <v>44456</v>
      </c>
      <c r="M178" s="25">
        <v>2021</v>
      </c>
      <c r="N178" s="25">
        <v>32</v>
      </c>
      <c r="O178" s="25">
        <v>44567</v>
      </c>
      <c r="P178" s="25">
        <v>2022</v>
      </c>
      <c r="Q178" s="25">
        <v>32</v>
      </c>
      <c r="R178" s="25"/>
      <c r="S178" s="25">
        <v>72</v>
      </c>
      <c r="T178" s="25">
        <v>72</v>
      </c>
      <c r="U178" s="25">
        <v>0</v>
      </c>
      <c r="V178" s="25" t="s">
        <v>22</v>
      </c>
      <c r="W178" s="25" t="s">
        <v>263</v>
      </c>
      <c r="X178" s="25">
        <v>0.44444444444444442</v>
      </c>
    </row>
    <row r="179" spans="1:24">
      <c r="A179" s="25" t="s">
        <v>27</v>
      </c>
      <c r="B179" s="25" t="s">
        <v>28</v>
      </c>
      <c r="C179" s="25" t="s">
        <v>20</v>
      </c>
      <c r="D179" s="25" t="s">
        <v>21</v>
      </c>
      <c r="E179" s="25" t="s">
        <v>268</v>
      </c>
      <c r="F179" s="25" t="s">
        <v>23</v>
      </c>
      <c r="G179" s="25" t="s">
        <v>24</v>
      </c>
      <c r="H179" s="25" t="s">
        <v>30</v>
      </c>
      <c r="I179" s="25" t="s">
        <v>30</v>
      </c>
      <c r="J179" s="25">
        <v>44740</v>
      </c>
      <c r="K179" s="25" t="s">
        <v>31</v>
      </c>
      <c r="L179" s="25">
        <v>44742</v>
      </c>
      <c r="M179" s="25">
        <v>2022</v>
      </c>
      <c r="N179" s="25">
        <v>23</v>
      </c>
      <c r="O179" s="25">
        <v>44812</v>
      </c>
      <c r="P179" s="25">
        <v>2022</v>
      </c>
      <c r="Q179" s="25">
        <v>22</v>
      </c>
      <c r="R179" s="25">
        <v>2</v>
      </c>
      <c r="S179" s="25">
        <v>41</v>
      </c>
      <c r="T179" s="25">
        <v>47</v>
      </c>
      <c r="U179" s="25">
        <v>1</v>
      </c>
      <c r="V179" s="25" t="s">
        <v>29</v>
      </c>
      <c r="W179" s="25" t="s">
        <v>262</v>
      </c>
      <c r="X179" s="25">
        <v>0.46808510638297873</v>
      </c>
    </row>
    <row r="180" spans="1:24">
      <c r="A180" s="25" t="s">
        <v>32</v>
      </c>
      <c r="B180" s="25" t="s">
        <v>28</v>
      </c>
      <c r="C180" s="25" t="s">
        <v>20</v>
      </c>
      <c r="D180" s="25" t="s">
        <v>21</v>
      </c>
      <c r="E180" s="25" t="s">
        <v>268</v>
      </c>
      <c r="F180" s="25" t="s">
        <v>23</v>
      </c>
      <c r="G180" s="25" t="s">
        <v>24</v>
      </c>
      <c r="H180" s="25" t="s">
        <v>30</v>
      </c>
      <c r="I180" s="25" t="s">
        <v>30</v>
      </c>
      <c r="J180" s="25">
        <v>44740</v>
      </c>
      <c r="K180" s="25" t="s">
        <v>33</v>
      </c>
      <c r="L180" s="25">
        <v>44742</v>
      </c>
      <c r="M180" s="25">
        <v>2022</v>
      </c>
      <c r="N180" s="25">
        <v>25</v>
      </c>
      <c r="O180" s="25">
        <v>44812</v>
      </c>
      <c r="P180" s="25">
        <v>2022</v>
      </c>
      <c r="Q180" s="25">
        <v>25</v>
      </c>
      <c r="R180" s="25">
        <v>4</v>
      </c>
      <c r="S180" s="25">
        <v>41</v>
      </c>
      <c r="T180" s="25">
        <v>47</v>
      </c>
      <c r="U180" s="25">
        <v>1</v>
      </c>
      <c r="V180" s="25" t="s">
        <v>29</v>
      </c>
      <c r="W180" s="25" t="s">
        <v>262</v>
      </c>
      <c r="X180" s="25">
        <v>0.53191489361702127</v>
      </c>
    </row>
    <row r="181" spans="1:24">
      <c r="A181" s="25" t="s">
        <v>34</v>
      </c>
      <c r="B181" s="25" t="s">
        <v>35</v>
      </c>
      <c r="C181" s="25" t="s">
        <v>20</v>
      </c>
      <c r="D181" s="25" t="s">
        <v>21</v>
      </c>
      <c r="E181" s="25" t="s">
        <v>268</v>
      </c>
      <c r="F181" s="25" t="s">
        <v>23</v>
      </c>
      <c r="G181" s="25" t="s">
        <v>24</v>
      </c>
      <c r="H181" s="25" t="s">
        <v>36</v>
      </c>
      <c r="I181" s="25" t="s">
        <v>37</v>
      </c>
      <c r="J181" s="25">
        <v>44728</v>
      </c>
      <c r="K181" s="25" t="s">
        <v>38</v>
      </c>
      <c r="L181" s="25">
        <v>44729</v>
      </c>
      <c r="M181" s="25">
        <v>2022</v>
      </c>
      <c r="N181" s="25">
        <v>4</v>
      </c>
      <c r="O181" s="25">
        <v>44748</v>
      </c>
      <c r="P181" s="25">
        <v>2022</v>
      </c>
      <c r="Q181" s="25">
        <v>4</v>
      </c>
      <c r="R181" s="25">
        <v>2</v>
      </c>
      <c r="S181" s="25">
        <v>0</v>
      </c>
      <c r="T181" s="25">
        <v>12</v>
      </c>
      <c r="U181" s="25">
        <v>1</v>
      </c>
      <c r="V181" s="25" t="s">
        <v>29</v>
      </c>
      <c r="W181" s="25" t="s">
        <v>264</v>
      </c>
      <c r="X181" s="25">
        <v>0.33333333333333331</v>
      </c>
    </row>
    <row r="182" spans="1:24">
      <c r="A182" s="25" t="s">
        <v>763</v>
      </c>
      <c r="B182" s="25" t="s">
        <v>764</v>
      </c>
      <c r="C182" s="25" t="s">
        <v>20</v>
      </c>
      <c r="D182" s="25" t="s">
        <v>21</v>
      </c>
      <c r="E182" s="25" t="s">
        <v>268</v>
      </c>
      <c r="F182" s="25" t="s">
        <v>23</v>
      </c>
      <c r="G182" s="25" t="s">
        <v>269</v>
      </c>
      <c r="H182" s="25" t="s">
        <v>143</v>
      </c>
      <c r="I182" s="25" t="s">
        <v>107</v>
      </c>
      <c r="J182" s="25">
        <v>44733</v>
      </c>
      <c r="K182" s="25" t="s">
        <v>765</v>
      </c>
      <c r="L182" s="25">
        <v>44733</v>
      </c>
      <c r="M182" s="25">
        <v>2022</v>
      </c>
      <c r="N182" s="25">
        <v>108</v>
      </c>
      <c r="O182" s="25">
        <v>44750</v>
      </c>
      <c r="P182" s="25">
        <v>2022</v>
      </c>
      <c r="Q182" s="25">
        <v>108</v>
      </c>
      <c r="R182" s="25">
        <v>49</v>
      </c>
      <c r="S182" s="25">
        <v>0</v>
      </c>
      <c r="T182" s="25">
        <v>12</v>
      </c>
      <c r="U182" s="25">
        <v>1</v>
      </c>
      <c r="V182" s="25" t="s">
        <v>29</v>
      </c>
      <c r="W182" s="25" t="s">
        <v>261</v>
      </c>
      <c r="X182" s="25">
        <v>9</v>
      </c>
    </row>
    <row r="183" spans="1:24">
      <c r="A183" s="25" t="s">
        <v>766</v>
      </c>
      <c r="B183" s="25" t="s">
        <v>312</v>
      </c>
      <c r="C183" s="25" t="s">
        <v>20</v>
      </c>
      <c r="D183" s="25" t="s">
        <v>21</v>
      </c>
      <c r="E183" s="25" t="s">
        <v>268</v>
      </c>
      <c r="F183" s="25" t="s">
        <v>616</v>
      </c>
      <c r="G183" s="25" t="s">
        <v>269</v>
      </c>
      <c r="H183" s="25" t="s">
        <v>69</v>
      </c>
      <c r="I183" s="25" t="s">
        <v>69</v>
      </c>
      <c r="J183" s="25">
        <v>44733</v>
      </c>
      <c r="K183" s="25" t="s">
        <v>767</v>
      </c>
      <c r="L183" s="25">
        <v>44733</v>
      </c>
      <c r="M183" s="25">
        <v>2022</v>
      </c>
      <c r="N183" s="25">
        <v>4</v>
      </c>
      <c r="O183" s="25">
        <v>44779</v>
      </c>
      <c r="P183" s="25">
        <v>2022</v>
      </c>
      <c r="Q183" s="25">
        <v>4</v>
      </c>
      <c r="R183" s="25">
        <v>2</v>
      </c>
      <c r="S183" s="25">
        <v>18</v>
      </c>
      <c r="T183" s="25">
        <v>30</v>
      </c>
      <c r="U183" s="25">
        <v>1</v>
      </c>
      <c r="V183" s="25" t="s">
        <v>29</v>
      </c>
      <c r="W183" s="25" t="s">
        <v>261</v>
      </c>
      <c r="X183" s="25">
        <v>0.13333333333333333</v>
      </c>
    </row>
    <row r="184" spans="1:24">
      <c r="A184" s="25" t="s">
        <v>39</v>
      </c>
      <c r="B184" s="25" t="s">
        <v>40</v>
      </c>
      <c r="C184" s="25" t="s">
        <v>20</v>
      </c>
      <c r="D184" s="25" t="s">
        <v>21</v>
      </c>
      <c r="E184" s="25" t="s">
        <v>268</v>
      </c>
      <c r="F184" s="25" t="s">
        <v>23</v>
      </c>
      <c r="G184" s="25" t="s">
        <v>24</v>
      </c>
      <c r="H184" s="25" t="s">
        <v>37</v>
      </c>
      <c r="I184" s="25" t="s">
        <v>37</v>
      </c>
      <c r="J184" s="25">
        <v>44733</v>
      </c>
      <c r="K184" s="25" t="s">
        <v>41</v>
      </c>
      <c r="L184" s="25">
        <v>44734</v>
      </c>
      <c r="M184" s="25">
        <v>2022</v>
      </c>
      <c r="N184" s="25">
        <v>24</v>
      </c>
      <c r="O184" s="25">
        <v>44824</v>
      </c>
      <c r="P184" s="25">
        <v>2022</v>
      </c>
      <c r="Q184" s="25">
        <v>19</v>
      </c>
      <c r="R184" s="25">
        <v>4</v>
      </c>
      <c r="S184" s="25">
        <v>49</v>
      </c>
      <c r="T184" s="25">
        <v>59</v>
      </c>
      <c r="U184" s="25">
        <v>1</v>
      </c>
      <c r="V184" s="25" t="s">
        <v>29</v>
      </c>
      <c r="W184" s="25" t="s">
        <v>260</v>
      </c>
      <c r="X184" s="25">
        <v>0.32203389830508472</v>
      </c>
    </row>
    <row r="185" spans="1:24">
      <c r="A185" s="25" t="s">
        <v>42</v>
      </c>
      <c r="B185" s="25" t="s">
        <v>40</v>
      </c>
      <c r="C185" s="25" t="s">
        <v>20</v>
      </c>
      <c r="D185" s="25" t="s">
        <v>21</v>
      </c>
      <c r="E185" s="25" t="s">
        <v>268</v>
      </c>
      <c r="F185" s="25" t="s">
        <v>23</v>
      </c>
      <c r="G185" s="25" t="s">
        <v>24</v>
      </c>
      <c r="H185" s="25" t="s">
        <v>37</v>
      </c>
      <c r="I185" s="25" t="s">
        <v>37</v>
      </c>
      <c r="J185" s="25">
        <v>44733</v>
      </c>
      <c r="K185" s="25" t="s">
        <v>43</v>
      </c>
      <c r="L185" s="25">
        <v>44734</v>
      </c>
      <c r="M185" s="25">
        <v>2022</v>
      </c>
      <c r="N185" s="25">
        <v>5</v>
      </c>
      <c r="O185" s="25">
        <v>44889</v>
      </c>
      <c r="P185" s="25">
        <v>2022</v>
      </c>
      <c r="Q185" s="25">
        <v>5</v>
      </c>
      <c r="R185" s="25">
        <v>1</v>
      </c>
      <c r="S185" s="25">
        <v>93</v>
      </c>
      <c r="T185" s="25">
        <v>103</v>
      </c>
      <c r="U185" s="25">
        <v>1</v>
      </c>
      <c r="V185" s="25" t="s">
        <v>29</v>
      </c>
      <c r="W185" s="25" t="s">
        <v>260</v>
      </c>
      <c r="X185" s="25">
        <v>4.8543689320388349E-2</v>
      </c>
    </row>
    <row r="186" spans="1:24">
      <c r="A186" s="25" t="s">
        <v>44</v>
      </c>
      <c r="B186" s="25" t="s">
        <v>40</v>
      </c>
      <c r="C186" s="25" t="s">
        <v>20</v>
      </c>
      <c r="D186" s="25" t="s">
        <v>21</v>
      </c>
      <c r="E186" s="25" t="s">
        <v>268</v>
      </c>
      <c r="F186" s="25" t="s">
        <v>23</v>
      </c>
      <c r="G186" s="25" t="s">
        <v>24</v>
      </c>
      <c r="H186" s="25" t="s">
        <v>37</v>
      </c>
      <c r="I186" s="25" t="s">
        <v>37</v>
      </c>
      <c r="J186" s="25">
        <v>44733</v>
      </c>
      <c r="K186" s="25" t="s">
        <v>45</v>
      </c>
      <c r="L186" s="25">
        <v>44734</v>
      </c>
      <c r="M186" s="25">
        <v>2022</v>
      </c>
      <c r="N186" s="25">
        <v>11</v>
      </c>
      <c r="O186" s="25">
        <v>44889</v>
      </c>
      <c r="P186" s="25">
        <v>2022</v>
      </c>
      <c r="Q186" s="25">
        <v>11</v>
      </c>
      <c r="R186" s="25">
        <v>1</v>
      </c>
      <c r="S186" s="25">
        <v>93</v>
      </c>
      <c r="T186" s="25">
        <v>103</v>
      </c>
      <c r="U186" s="25">
        <v>1</v>
      </c>
      <c r="V186" s="25" t="s">
        <v>29</v>
      </c>
      <c r="W186" s="25" t="s">
        <v>260</v>
      </c>
      <c r="X186" s="25">
        <v>0.10679611650485436</v>
      </c>
    </row>
    <row r="187" spans="1:24">
      <c r="A187" s="25" t="s">
        <v>46</v>
      </c>
      <c r="B187" s="25" t="s">
        <v>40</v>
      </c>
      <c r="C187" s="25" t="s">
        <v>20</v>
      </c>
      <c r="D187" s="25" t="s">
        <v>21</v>
      </c>
      <c r="E187" s="25" t="s">
        <v>268</v>
      </c>
      <c r="F187" s="25" t="s">
        <v>23</v>
      </c>
      <c r="G187" s="25" t="s">
        <v>24</v>
      </c>
      <c r="H187" s="25" t="s">
        <v>37</v>
      </c>
      <c r="I187" s="25" t="s">
        <v>37</v>
      </c>
      <c r="J187" s="25">
        <v>44733</v>
      </c>
      <c r="K187" s="25" t="s">
        <v>47</v>
      </c>
      <c r="L187" s="25">
        <v>44734</v>
      </c>
      <c r="M187" s="25">
        <v>2022</v>
      </c>
      <c r="N187" s="25">
        <v>10</v>
      </c>
      <c r="O187" s="25">
        <v>44840</v>
      </c>
      <c r="P187" s="25">
        <v>2022</v>
      </c>
      <c r="Q187" s="25">
        <v>10</v>
      </c>
      <c r="R187" s="25">
        <v>1</v>
      </c>
      <c r="S187" s="25">
        <v>61</v>
      </c>
      <c r="T187" s="25">
        <v>71</v>
      </c>
      <c r="U187" s="25">
        <v>1</v>
      </c>
      <c r="V187" s="25" t="s">
        <v>29</v>
      </c>
      <c r="W187" s="25" t="s">
        <v>260</v>
      </c>
      <c r="X187" s="25">
        <v>0.14084507042253522</v>
      </c>
    </row>
    <row r="188" spans="1:24">
      <c r="A188" s="25" t="s">
        <v>48</v>
      </c>
      <c r="B188" s="25" t="s">
        <v>49</v>
      </c>
      <c r="C188" s="25" t="s">
        <v>20</v>
      </c>
      <c r="D188" s="25" t="s">
        <v>21</v>
      </c>
      <c r="E188" s="25" t="s">
        <v>268</v>
      </c>
      <c r="F188" s="25" t="s">
        <v>23</v>
      </c>
      <c r="G188" s="25" t="s">
        <v>50</v>
      </c>
      <c r="H188" s="25" t="s">
        <v>37</v>
      </c>
      <c r="I188" s="25" t="s">
        <v>37</v>
      </c>
      <c r="J188" s="25">
        <v>44728</v>
      </c>
      <c r="K188" s="25" t="s">
        <v>51</v>
      </c>
      <c r="L188" s="25">
        <v>44734</v>
      </c>
      <c r="M188" s="25">
        <v>2022</v>
      </c>
      <c r="N188" s="25">
        <v>3</v>
      </c>
      <c r="O188" s="25">
        <v>44746</v>
      </c>
      <c r="P188" s="25">
        <v>2022</v>
      </c>
      <c r="Q188" s="25">
        <v>3</v>
      </c>
      <c r="R188" s="25">
        <v>2</v>
      </c>
      <c r="S188" s="25">
        <v>0</v>
      </c>
      <c r="T188" s="25">
        <v>7</v>
      </c>
      <c r="U188" s="25">
        <v>1</v>
      </c>
      <c r="V188" s="25" t="s">
        <v>29</v>
      </c>
      <c r="W188" s="25" t="s">
        <v>260</v>
      </c>
      <c r="X188" s="25">
        <v>0.42857142857142855</v>
      </c>
    </row>
    <row r="189" spans="1:24">
      <c r="A189" s="25" t="s">
        <v>52</v>
      </c>
      <c r="B189" s="25" t="s">
        <v>53</v>
      </c>
      <c r="C189" s="25" t="s">
        <v>20</v>
      </c>
      <c r="D189" s="25" t="s">
        <v>21</v>
      </c>
      <c r="E189" s="25" t="s">
        <v>268</v>
      </c>
      <c r="F189" s="25" t="s">
        <v>23</v>
      </c>
      <c r="G189" s="25" t="s">
        <v>50</v>
      </c>
      <c r="H189" s="25" t="s">
        <v>37</v>
      </c>
      <c r="I189" s="25" t="s">
        <v>37</v>
      </c>
      <c r="J189" s="25">
        <v>44735</v>
      </c>
      <c r="K189" s="25" t="s">
        <v>54</v>
      </c>
      <c r="L189" s="25">
        <v>44739</v>
      </c>
      <c r="M189" s="25">
        <v>2022</v>
      </c>
      <c r="N189" s="25">
        <v>5</v>
      </c>
      <c r="O189" s="25">
        <v>44754</v>
      </c>
      <c r="P189" s="25">
        <v>2022</v>
      </c>
      <c r="Q189" s="25">
        <v>5</v>
      </c>
      <c r="R189" s="25">
        <v>1</v>
      </c>
      <c r="S189" s="25">
        <v>0</v>
      </c>
      <c r="T189" s="25">
        <v>11</v>
      </c>
      <c r="U189" s="25">
        <v>1</v>
      </c>
      <c r="V189" s="25" t="s">
        <v>29</v>
      </c>
      <c r="W189" s="25" t="s">
        <v>260</v>
      </c>
      <c r="X189" s="25">
        <v>0.45454545454545453</v>
      </c>
    </row>
    <row r="190" spans="1:24">
      <c r="A190" s="25" t="s">
        <v>55</v>
      </c>
      <c r="B190" s="25" t="s">
        <v>53</v>
      </c>
      <c r="C190" s="25" t="s">
        <v>20</v>
      </c>
      <c r="D190" s="25" t="s">
        <v>21</v>
      </c>
      <c r="E190" s="25" t="s">
        <v>268</v>
      </c>
      <c r="F190" s="25" t="s">
        <v>23</v>
      </c>
      <c r="G190" s="25" t="s">
        <v>50</v>
      </c>
      <c r="H190" s="25" t="s">
        <v>37</v>
      </c>
      <c r="I190" s="25" t="s">
        <v>37</v>
      </c>
      <c r="J190" s="25">
        <v>44735</v>
      </c>
      <c r="K190" s="25" t="s">
        <v>56</v>
      </c>
      <c r="L190" s="25">
        <v>44739</v>
      </c>
      <c r="M190" s="25">
        <v>2022</v>
      </c>
      <c r="N190" s="25">
        <v>18</v>
      </c>
      <c r="O190" s="25">
        <v>44754</v>
      </c>
      <c r="P190" s="25">
        <v>2022</v>
      </c>
      <c r="Q190" s="25">
        <v>18</v>
      </c>
      <c r="R190" s="25">
        <v>1</v>
      </c>
      <c r="S190" s="25">
        <v>0</v>
      </c>
      <c r="T190" s="25">
        <v>11</v>
      </c>
      <c r="U190" s="25">
        <v>1</v>
      </c>
      <c r="V190" s="25" t="s">
        <v>29</v>
      </c>
      <c r="W190" s="25" t="s">
        <v>260</v>
      </c>
      <c r="X190" s="25">
        <v>1.6363636363636365</v>
      </c>
    </row>
    <row r="191" spans="1:24">
      <c r="A191" s="25" t="s">
        <v>57</v>
      </c>
      <c r="B191" s="25" t="s">
        <v>53</v>
      </c>
      <c r="C191" s="25" t="s">
        <v>20</v>
      </c>
      <c r="D191" s="25" t="s">
        <v>21</v>
      </c>
      <c r="E191" s="25" t="s">
        <v>268</v>
      </c>
      <c r="F191" s="25" t="s">
        <v>23</v>
      </c>
      <c r="G191" s="25" t="s">
        <v>50</v>
      </c>
      <c r="H191" s="25" t="s">
        <v>37</v>
      </c>
      <c r="I191" s="25" t="s">
        <v>37</v>
      </c>
      <c r="J191" s="25">
        <v>44735</v>
      </c>
      <c r="K191" s="25" t="s">
        <v>58</v>
      </c>
      <c r="L191" s="25">
        <v>44739</v>
      </c>
      <c r="M191" s="25">
        <v>2022</v>
      </c>
      <c r="N191" s="25">
        <v>1</v>
      </c>
      <c r="O191" s="25">
        <v>44754</v>
      </c>
      <c r="P191" s="25">
        <v>2022</v>
      </c>
      <c r="Q191" s="25">
        <v>1</v>
      </c>
      <c r="R191" s="25">
        <v>1</v>
      </c>
      <c r="S191" s="25">
        <v>0</v>
      </c>
      <c r="T191" s="25">
        <v>11</v>
      </c>
      <c r="U191" s="25">
        <v>1</v>
      </c>
      <c r="V191" s="25" t="s">
        <v>29</v>
      </c>
      <c r="W191" s="25" t="s">
        <v>260</v>
      </c>
      <c r="X191" s="25">
        <v>9.0909090909090912E-2</v>
      </c>
    </row>
    <row r="192" spans="1:24">
      <c r="A192" s="25" t="s">
        <v>59</v>
      </c>
      <c r="B192" s="25" t="s">
        <v>53</v>
      </c>
      <c r="C192" s="25" t="s">
        <v>20</v>
      </c>
      <c r="D192" s="25" t="s">
        <v>21</v>
      </c>
      <c r="E192" s="25" t="s">
        <v>268</v>
      </c>
      <c r="F192" s="25" t="s">
        <v>23</v>
      </c>
      <c r="G192" s="25" t="s">
        <v>50</v>
      </c>
      <c r="H192" s="25" t="s">
        <v>37</v>
      </c>
      <c r="I192" s="25" t="s">
        <v>37</v>
      </c>
      <c r="J192" s="25">
        <v>44735</v>
      </c>
      <c r="K192" s="25" t="s">
        <v>60</v>
      </c>
      <c r="L192" s="25">
        <v>44739</v>
      </c>
      <c r="M192" s="25">
        <v>2022</v>
      </c>
      <c r="N192" s="25">
        <v>2</v>
      </c>
      <c r="O192" s="25">
        <v>44754</v>
      </c>
      <c r="P192" s="25">
        <v>2022</v>
      </c>
      <c r="Q192" s="25">
        <v>2</v>
      </c>
      <c r="R192" s="25">
        <v>1</v>
      </c>
      <c r="S192" s="25">
        <v>0</v>
      </c>
      <c r="T192" s="25">
        <v>11</v>
      </c>
      <c r="U192" s="25">
        <v>1</v>
      </c>
      <c r="V192" s="25" t="s">
        <v>29</v>
      </c>
      <c r="W192" s="25" t="s">
        <v>260</v>
      </c>
      <c r="X192" s="25">
        <v>0.18181818181818182</v>
      </c>
    </row>
    <row r="193" spans="1:24">
      <c r="A193" s="25" t="s">
        <v>61</v>
      </c>
      <c r="B193" s="25" t="s">
        <v>53</v>
      </c>
      <c r="C193" s="25" t="s">
        <v>20</v>
      </c>
      <c r="D193" s="25" t="s">
        <v>21</v>
      </c>
      <c r="E193" s="25" t="s">
        <v>268</v>
      </c>
      <c r="F193" s="25" t="s">
        <v>23</v>
      </c>
      <c r="G193" s="25" t="s">
        <v>50</v>
      </c>
      <c r="H193" s="25" t="s">
        <v>37</v>
      </c>
      <c r="I193" s="25" t="s">
        <v>37</v>
      </c>
      <c r="J193" s="25">
        <v>44735</v>
      </c>
      <c r="K193" s="25" t="s">
        <v>62</v>
      </c>
      <c r="L193" s="25">
        <v>44739</v>
      </c>
      <c r="M193" s="25">
        <v>2022</v>
      </c>
      <c r="N193" s="25">
        <v>7</v>
      </c>
      <c r="O193" s="25">
        <v>44754</v>
      </c>
      <c r="P193" s="25">
        <v>2022</v>
      </c>
      <c r="Q193" s="25">
        <v>7</v>
      </c>
      <c r="R193" s="25">
        <v>1</v>
      </c>
      <c r="S193" s="25">
        <v>0</v>
      </c>
      <c r="T193" s="25">
        <v>11</v>
      </c>
      <c r="U193" s="25">
        <v>1</v>
      </c>
      <c r="V193" s="25" t="s">
        <v>29</v>
      </c>
      <c r="W193" s="25" t="s">
        <v>260</v>
      </c>
      <c r="X193" s="25">
        <v>0.63636363636363635</v>
      </c>
    </row>
    <row r="194" spans="1:24">
      <c r="A194" s="25" t="s">
        <v>63</v>
      </c>
      <c r="B194" s="25" t="s">
        <v>64</v>
      </c>
      <c r="C194" s="25" t="s">
        <v>20</v>
      </c>
      <c r="D194" s="25" t="s">
        <v>21</v>
      </c>
      <c r="E194" s="25" t="s">
        <v>268</v>
      </c>
      <c r="F194" s="25" t="s">
        <v>23</v>
      </c>
      <c r="G194" s="25" t="s">
        <v>50</v>
      </c>
      <c r="H194" s="25" t="s">
        <v>65</v>
      </c>
      <c r="I194" s="25" t="s">
        <v>65</v>
      </c>
      <c r="J194" s="25">
        <v>44740</v>
      </c>
      <c r="K194" s="25" t="s">
        <v>66</v>
      </c>
      <c r="L194" s="25">
        <v>44746</v>
      </c>
      <c r="M194" s="25">
        <v>2022</v>
      </c>
      <c r="N194" s="25">
        <v>35</v>
      </c>
      <c r="O194" s="25">
        <v>44762</v>
      </c>
      <c r="P194" s="25">
        <v>2022</v>
      </c>
      <c r="Q194" s="25">
        <v>33</v>
      </c>
      <c r="R194" s="25">
        <v>3</v>
      </c>
      <c r="S194" s="25">
        <v>3</v>
      </c>
      <c r="T194" s="25">
        <v>13</v>
      </c>
      <c r="U194" s="25">
        <v>1</v>
      </c>
      <c r="V194" s="25" t="s">
        <v>29</v>
      </c>
      <c r="W194" s="25" t="s">
        <v>263</v>
      </c>
      <c r="X194" s="25">
        <v>2.5384615384615383</v>
      </c>
    </row>
    <row r="195" spans="1:24">
      <c r="A195" s="25" t="s">
        <v>67</v>
      </c>
      <c r="B195" s="25" t="s">
        <v>68</v>
      </c>
      <c r="C195" s="25" t="s">
        <v>20</v>
      </c>
      <c r="D195" s="25" t="s">
        <v>21</v>
      </c>
      <c r="E195" s="25" t="s">
        <v>268</v>
      </c>
      <c r="F195" s="25" t="s">
        <v>23</v>
      </c>
      <c r="G195" s="25" t="s">
        <v>50</v>
      </c>
      <c r="H195" s="25" t="s">
        <v>69</v>
      </c>
      <c r="I195" s="25" t="s">
        <v>69</v>
      </c>
      <c r="J195" s="25">
        <v>44735</v>
      </c>
      <c r="K195" s="25" t="s">
        <v>70</v>
      </c>
      <c r="L195" s="25">
        <v>44750</v>
      </c>
      <c r="M195" s="25">
        <v>2022</v>
      </c>
      <c r="N195" s="25">
        <v>4</v>
      </c>
      <c r="O195" s="25">
        <v>44764</v>
      </c>
      <c r="P195" s="25">
        <v>2022</v>
      </c>
      <c r="Q195" s="25">
        <v>4</v>
      </c>
      <c r="R195" s="25">
        <v>1</v>
      </c>
      <c r="S195" s="25">
        <v>0</v>
      </c>
      <c r="T195" s="25">
        <v>11</v>
      </c>
      <c r="U195" s="25">
        <v>1</v>
      </c>
      <c r="V195" s="25" t="s">
        <v>29</v>
      </c>
      <c r="W195" s="25" t="s">
        <v>261</v>
      </c>
      <c r="X195" s="25">
        <v>0.36363636363636365</v>
      </c>
    </row>
    <row r="196" spans="1:24">
      <c r="A196" s="25" t="s">
        <v>74</v>
      </c>
      <c r="B196" s="25" t="s">
        <v>68</v>
      </c>
      <c r="C196" s="25" t="s">
        <v>20</v>
      </c>
      <c r="D196" s="25" t="s">
        <v>21</v>
      </c>
      <c r="E196" s="25" t="s">
        <v>268</v>
      </c>
      <c r="F196" s="25" t="s">
        <v>23</v>
      </c>
      <c r="G196" s="25" t="s">
        <v>50</v>
      </c>
      <c r="H196" s="25" t="s">
        <v>69</v>
      </c>
      <c r="I196" s="25" t="s">
        <v>69</v>
      </c>
      <c r="J196" s="25">
        <v>44735</v>
      </c>
      <c r="K196" s="25" t="s">
        <v>75</v>
      </c>
      <c r="L196" s="25">
        <v>44750</v>
      </c>
      <c r="M196" s="25">
        <v>2022</v>
      </c>
      <c r="N196" s="25">
        <v>1</v>
      </c>
      <c r="O196" s="25">
        <v>44764</v>
      </c>
      <c r="P196" s="25">
        <v>2022</v>
      </c>
      <c r="Q196" s="25">
        <v>1</v>
      </c>
      <c r="R196" s="25">
        <v>1</v>
      </c>
      <c r="S196" s="25">
        <v>0</v>
      </c>
      <c r="T196" s="25">
        <v>11</v>
      </c>
      <c r="U196" s="25">
        <v>1</v>
      </c>
      <c r="V196" s="25" t="s">
        <v>29</v>
      </c>
      <c r="W196" s="25" t="s">
        <v>261</v>
      </c>
      <c r="X196" s="25">
        <v>9.0909090909090912E-2</v>
      </c>
    </row>
    <row r="197" spans="1:24">
      <c r="A197" s="25" t="s">
        <v>83</v>
      </c>
      <c r="B197" s="25" t="s">
        <v>68</v>
      </c>
      <c r="C197" s="25" t="s">
        <v>20</v>
      </c>
      <c r="D197" s="25" t="s">
        <v>21</v>
      </c>
      <c r="E197" s="25" t="s">
        <v>268</v>
      </c>
      <c r="F197" s="25" t="s">
        <v>23</v>
      </c>
      <c r="G197" s="25" t="s">
        <v>50</v>
      </c>
      <c r="H197" s="25" t="s">
        <v>69</v>
      </c>
      <c r="I197" s="25" t="s">
        <v>69</v>
      </c>
      <c r="J197" s="25">
        <v>44735</v>
      </c>
      <c r="K197" s="25" t="s">
        <v>84</v>
      </c>
      <c r="L197" s="25">
        <v>44750</v>
      </c>
      <c r="M197" s="25">
        <v>2022</v>
      </c>
      <c r="N197" s="25">
        <v>1</v>
      </c>
      <c r="O197" s="25">
        <v>44764</v>
      </c>
      <c r="P197" s="25">
        <v>2022</v>
      </c>
      <c r="Q197" s="25">
        <v>1</v>
      </c>
      <c r="R197" s="25">
        <v>1</v>
      </c>
      <c r="S197" s="25">
        <v>0</v>
      </c>
      <c r="T197" s="25">
        <v>11</v>
      </c>
      <c r="U197" s="25">
        <v>1</v>
      </c>
      <c r="V197" s="25" t="s">
        <v>29</v>
      </c>
      <c r="W197" s="25" t="s">
        <v>261</v>
      </c>
      <c r="X197" s="25">
        <v>9.0909090909090912E-2</v>
      </c>
    </row>
    <row r="198" spans="1:24">
      <c r="A198" s="25" t="s">
        <v>85</v>
      </c>
      <c r="B198" s="25" t="s">
        <v>68</v>
      </c>
      <c r="C198" s="25" t="s">
        <v>20</v>
      </c>
      <c r="D198" s="25" t="s">
        <v>21</v>
      </c>
      <c r="E198" s="25" t="s">
        <v>268</v>
      </c>
      <c r="F198" s="25" t="s">
        <v>23</v>
      </c>
      <c r="G198" s="25" t="s">
        <v>50</v>
      </c>
      <c r="H198" s="25" t="s">
        <v>69</v>
      </c>
      <c r="I198" s="25" t="s">
        <v>69</v>
      </c>
      <c r="J198" s="25">
        <v>44735</v>
      </c>
      <c r="K198" s="25" t="s">
        <v>86</v>
      </c>
      <c r="L198" s="25">
        <v>44750</v>
      </c>
      <c r="M198" s="25">
        <v>2022</v>
      </c>
      <c r="N198" s="25">
        <v>2</v>
      </c>
      <c r="O198" s="25">
        <v>44764</v>
      </c>
      <c r="P198" s="25">
        <v>2022</v>
      </c>
      <c r="Q198" s="25">
        <v>2</v>
      </c>
      <c r="R198" s="25">
        <v>1</v>
      </c>
      <c r="S198" s="25">
        <v>0</v>
      </c>
      <c r="T198" s="25">
        <v>11</v>
      </c>
      <c r="U198" s="25">
        <v>1</v>
      </c>
      <c r="V198" s="25" t="s">
        <v>29</v>
      </c>
      <c r="W198" s="25" t="s">
        <v>261</v>
      </c>
      <c r="X198" s="25">
        <v>0.18181818181818182</v>
      </c>
    </row>
    <row r="199" spans="1:24">
      <c r="A199" s="25" t="s">
        <v>87</v>
      </c>
      <c r="B199" s="25" t="s">
        <v>68</v>
      </c>
      <c r="C199" s="25" t="s">
        <v>20</v>
      </c>
      <c r="D199" s="25" t="s">
        <v>21</v>
      </c>
      <c r="E199" s="25" t="s">
        <v>268</v>
      </c>
      <c r="F199" s="25" t="s">
        <v>23</v>
      </c>
      <c r="G199" s="25" t="s">
        <v>50</v>
      </c>
      <c r="H199" s="25" t="s">
        <v>69</v>
      </c>
      <c r="I199" s="25" t="s">
        <v>69</v>
      </c>
      <c r="J199" s="25">
        <v>44735</v>
      </c>
      <c r="K199" s="25" t="s">
        <v>88</v>
      </c>
      <c r="L199" s="25">
        <v>44750</v>
      </c>
      <c r="M199" s="25">
        <v>2022</v>
      </c>
      <c r="N199" s="25">
        <v>5</v>
      </c>
      <c r="O199" s="25">
        <v>44764</v>
      </c>
      <c r="P199" s="25">
        <v>2022</v>
      </c>
      <c r="Q199" s="25">
        <v>3</v>
      </c>
      <c r="R199" s="25">
        <v>1</v>
      </c>
      <c r="S199" s="25">
        <v>0</v>
      </c>
      <c r="T199" s="25">
        <v>11</v>
      </c>
      <c r="U199" s="25">
        <v>1</v>
      </c>
      <c r="V199" s="25" t="s">
        <v>29</v>
      </c>
      <c r="W199" s="25" t="s">
        <v>261</v>
      </c>
      <c r="X199" s="25">
        <v>0.27272727272727271</v>
      </c>
    </row>
    <row r="200" spans="1:24">
      <c r="A200" s="25" t="s">
        <v>89</v>
      </c>
      <c r="B200" s="25" t="s">
        <v>68</v>
      </c>
      <c r="C200" s="25" t="s">
        <v>20</v>
      </c>
      <c r="D200" s="25" t="s">
        <v>21</v>
      </c>
      <c r="E200" s="25" t="s">
        <v>268</v>
      </c>
      <c r="F200" s="25" t="s">
        <v>23</v>
      </c>
      <c r="G200" s="25" t="s">
        <v>50</v>
      </c>
      <c r="H200" s="25" t="s">
        <v>69</v>
      </c>
      <c r="I200" s="25" t="s">
        <v>69</v>
      </c>
      <c r="J200" s="25">
        <v>44735</v>
      </c>
      <c r="K200" s="25" t="s">
        <v>90</v>
      </c>
      <c r="L200" s="25">
        <v>44750</v>
      </c>
      <c r="M200" s="25">
        <v>2022</v>
      </c>
      <c r="N200" s="25">
        <v>3</v>
      </c>
      <c r="O200" s="25">
        <v>44764</v>
      </c>
      <c r="P200" s="25">
        <v>2022</v>
      </c>
      <c r="Q200" s="25">
        <v>1</v>
      </c>
      <c r="R200" s="25">
        <v>1</v>
      </c>
      <c r="S200" s="25">
        <v>0</v>
      </c>
      <c r="T200" s="25">
        <v>11</v>
      </c>
      <c r="U200" s="25">
        <v>1</v>
      </c>
      <c r="V200" s="25" t="s">
        <v>29</v>
      </c>
      <c r="W200" s="25" t="s">
        <v>261</v>
      </c>
      <c r="X200" s="25">
        <v>9.0909090909090912E-2</v>
      </c>
    </row>
    <row r="201" spans="1:24">
      <c r="A201" s="25" t="s">
        <v>91</v>
      </c>
      <c r="B201" s="25" t="s">
        <v>68</v>
      </c>
      <c r="C201" s="25" t="s">
        <v>20</v>
      </c>
      <c r="D201" s="25" t="s">
        <v>21</v>
      </c>
      <c r="E201" s="25" t="s">
        <v>268</v>
      </c>
      <c r="F201" s="25" t="s">
        <v>23</v>
      </c>
      <c r="G201" s="25" t="s">
        <v>50</v>
      </c>
      <c r="H201" s="25" t="s">
        <v>69</v>
      </c>
      <c r="I201" s="25" t="s">
        <v>69</v>
      </c>
      <c r="J201" s="25">
        <v>44735</v>
      </c>
      <c r="K201" s="25" t="s">
        <v>92</v>
      </c>
      <c r="L201" s="25">
        <v>44750</v>
      </c>
      <c r="M201" s="25">
        <v>2022</v>
      </c>
      <c r="N201" s="25">
        <v>2</v>
      </c>
      <c r="O201" s="25">
        <v>44764</v>
      </c>
      <c r="P201" s="25">
        <v>2022</v>
      </c>
      <c r="Q201" s="25">
        <v>2</v>
      </c>
      <c r="R201" s="25">
        <v>1</v>
      </c>
      <c r="S201" s="25">
        <v>0</v>
      </c>
      <c r="T201" s="25">
        <v>11</v>
      </c>
      <c r="U201" s="25">
        <v>1</v>
      </c>
      <c r="V201" s="25" t="s">
        <v>29</v>
      </c>
      <c r="W201" s="25" t="s">
        <v>261</v>
      </c>
      <c r="X201" s="25">
        <v>0.18181818181818182</v>
      </c>
    </row>
    <row r="202" spans="1:24">
      <c r="A202" s="25" t="s">
        <v>93</v>
      </c>
      <c r="B202" s="25" t="s">
        <v>68</v>
      </c>
      <c r="C202" s="25" t="s">
        <v>20</v>
      </c>
      <c r="D202" s="25" t="s">
        <v>21</v>
      </c>
      <c r="E202" s="25" t="s">
        <v>268</v>
      </c>
      <c r="F202" s="25" t="s">
        <v>23</v>
      </c>
      <c r="G202" s="25" t="s">
        <v>50</v>
      </c>
      <c r="H202" s="25" t="s">
        <v>69</v>
      </c>
      <c r="I202" s="25" t="s">
        <v>69</v>
      </c>
      <c r="J202" s="25">
        <v>44735</v>
      </c>
      <c r="K202" s="25" t="s">
        <v>94</v>
      </c>
      <c r="L202" s="25">
        <v>44750</v>
      </c>
      <c r="M202" s="25">
        <v>2022</v>
      </c>
      <c r="N202" s="25">
        <v>1</v>
      </c>
      <c r="O202" s="25">
        <v>44764</v>
      </c>
      <c r="P202" s="25">
        <v>2022</v>
      </c>
      <c r="Q202" s="25">
        <v>1</v>
      </c>
      <c r="R202" s="25">
        <v>1</v>
      </c>
      <c r="S202" s="25">
        <v>0</v>
      </c>
      <c r="T202" s="25">
        <v>11</v>
      </c>
      <c r="U202" s="25">
        <v>1</v>
      </c>
      <c r="V202" s="25" t="s">
        <v>29</v>
      </c>
      <c r="W202" s="25" t="s">
        <v>261</v>
      </c>
      <c r="X202" s="25">
        <v>9.0909090909090912E-2</v>
      </c>
    </row>
    <row r="203" spans="1:24">
      <c r="A203" s="25" t="s">
        <v>95</v>
      </c>
      <c r="B203" s="25" t="s">
        <v>68</v>
      </c>
      <c r="C203" s="25" t="s">
        <v>20</v>
      </c>
      <c r="D203" s="25" t="s">
        <v>21</v>
      </c>
      <c r="E203" s="25" t="s">
        <v>268</v>
      </c>
      <c r="F203" s="25" t="s">
        <v>23</v>
      </c>
      <c r="G203" s="25" t="s">
        <v>50</v>
      </c>
      <c r="H203" s="25" t="s">
        <v>69</v>
      </c>
      <c r="I203" s="25" t="s">
        <v>69</v>
      </c>
      <c r="J203" s="25">
        <v>44735</v>
      </c>
      <c r="K203" s="25" t="s">
        <v>96</v>
      </c>
      <c r="L203" s="25">
        <v>44750</v>
      </c>
      <c r="M203" s="25">
        <v>2022</v>
      </c>
      <c r="N203" s="25">
        <v>1</v>
      </c>
      <c r="O203" s="25">
        <v>44764</v>
      </c>
      <c r="P203" s="25">
        <v>2022</v>
      </c>
      <c r="Q203" s="25">
        <v>1</v>
      </c>
      <c r="R203" s="25">
        <v>1</v>
      </c>
      <c r="S203" s="25">
        <v>0</v>
      </c>
      <c r="T203" s="25">
        <v>11</v>
      </c>
      <c r="U203" s="25">
        <v>1</v>
      </c>
      <c r="V203" s="25" t="s">
        <v>29</v>
      </c>
      <c r="W203" s="25" t="s">
        <v>261</v>
      </c>
      <c r="X203" s="25">
        <v>9.0909090909090912E-2</v>
      </c>
    </row>
    <row r="204" spans="1:24">
      <c r="A204" s="25" t="s">
        <v>97</v>
      </c>
      <c r="B204" s="25" t="s">
        <v>68</v>
      </c>
      <c r="C204" s="25" t="s">
        <v>20</v>
      </c>
      <c r="D204" s="25" t="s">
        <v>21</v>
      </c>
      <c r="E204" s="25" t="s">
        <v>268</v>
      </c>
      <c r="F204" s="25" t="s">
        <v>23</v>
      </c>
      <c r="G204" s="25" t="s">
        <v>50</v>
      </c>
      <c r="H204" s="25" t="s">
        <v>69</v>
      </c>
      <c r="I204" s="25" t="s">
        <v>69</v>
      </c>
      <c r="J204" s="25">
        <v>44735</v>
      </c>
      <c r="K204" s="25" t="s">
        <v>98</v>
      </c>
      <c r="L204" s="25">
        <v>44750</v>
      </c>
      <c r="M204" s="25">
        <v>2022</v>
      </c>
      <c r="N204" s="25">
        <v>1</v>
      </c>
      <c r="O204" s="25">
        <v>44764</v>
      </c>
      <c r="P204" s="25">
        <v>2022</v>
      </c>
      <c r="Q204" s="25">
        <v>1</v>
      </c>
      <c r="R204" s="25">
        <v>1</v>
      </c>
      <c r="S204" s="25">
        <v>0</v>
      </c>
      <c r="T204" s="25">
        <v>11</v>
      </c>
      <c r="U204" s="25">
        <v>1</v>
      </c>
      <c r="V204" s="25" t="s">
        <v>29</v>
      </c>
      <c r="W204" s="25" t="s">
        <v>261</v>
      </c>
      <c r="X204" s="25">
        <v>9.0909090909090912E-2</v>
      </c>
    </row>
    <row r="205" spans="1:24">
      <c r="A205" s="25" t="s">
        <v>99</v>
      </c>
      <c r="B205" s="25" t="s">
        <v>68</v>
      </c>
      <c r="C205" s="25" t="s">
        <v>20</v>
      </c>
      <c r="D205" s="25" t="s">
        <v>21</v>
      </c>
      <c r="E205" s="25" t="s">
        <v>268</v>
      </c>
      <c r="F205" s="25" t="s">
        <v>23</v>
      </c>
      <c r="G205" s="25" t="s">
        <v>50</v>
      </c>
      <c r="H205" s="25" t="s">
        <v>69</v>
      </c>
      <c r="I205" s="25" t="s">
        <v>69</v>
      </c>
      <c r="J205" s="25">
        <v>44735</v>
      </c>
      <c r="K205" s="25" t="s">
        <v>100</v>
      </c>
      <c r="L205" s="25">
        <v>44750</v>
      </c>
      <c r="M205" s="25">
        <v>2022</v>
      </c>
      <c r="N205" s="25">
        <v>1</v>
      </c>
      <c r="O205" s="25">
        <v>44764</v>
      </c>
      <c r="P205" s="25">
        <v>2022</v>
      </c>
      <c r="Q205" s="25">
        <v>1</v>
      </c>
      <c r="R205" s="25">
        <v>1</v>
      </c>
      <c r="S205" s="25">
        <v>0</v>
      </c>
      <c r="T205" s="25">
        <v>11</v>
      </c>
      <c r="U205" s="25">
        <v>1</v>
      </c>
      <c r="V205" s="25" t="s">
        <v>29</v>
      </c>
      <c r="W205" s="25" t="s">
        <v>261</v>
      </c>
      <c r="X205" s="25">
        <v>9.0909090909090912E-2</v>
      </c>
    </row>
    <row r="206" spans="1:24">
      <c r="A206" s="25" t="s">
        <v>101</v>
      </c>
      <c r="B206" s="25" t="s">
        <v>102</v>
      </c>
      <c r="C206" s="25" t="s">
        <v>20</v>
      </c>
      <c r="D206" s="25" t="s">
        <v>21</v>
      </c>
      <c r="E206" s="25" t="s">
        <v>268</v>
      </c>
      <c r="F206" s="25" t="s">
        <v>23</v>
      </c>
      <c r="G206" s="25" t="s">
        <v>24</v>
      </c>
      <c r="H206" s="25" t="s">
        <v>103</v>
      </c>
      <c r="I206" s="25" t="s">
        <v>65</v>
      </c>
      <c r="J206" s="25">
        <v>44735</v>
      </c>
      <c r="K206" s="25" t="s">
        <v>104</v>
      </c>
      <c r="L206" s="25">
        <v>44746</v>
      </c>
      <c r="M206" s="25">
        <v>2022</v>
      </c>
      <c r="N206" s="25">
        <v>16</v>
      </c>
      <c r="O206" s="25">
        <v>44845</v>
      </c>
      <c r="P206" s="25">
        <v>2022</v>
      </c>
      <c r="Q206" s="25">
        <v>12</v>
      </c>
      <c r="R206" s="25">
        <v>2</v>
      </c>
      <c r="S206" s="25">
        <v>21</v>
      </c>
      <c r="T206" s="25">
        <v>67</v>
      </c>
      <c r="U206" s="25">
        <v>1</v>
      </c>
      <c r="V206" s="25" t="s">
        <v>29</v>
      </c>
      <c r="W206" s="25" t="s">
        <v>262</v>
      </c>
      <c r="X206" s="25">
        <v>0.17910447761194029</v>
      </c>
    </row>
    <row r="207" spans="1:24">
      <c r="A207" s="25" t="s">
        <v>112</v>
      </c>
      <c r="B207" s="25" t="s">
        <v>102</v>
      </c>
      <c r="C207" s="25" t="s">
        <v>20</v>
      </c>
      <c r="D207" s="25" t="s">
        <v>21</v>
      </c>
      <c r="E207" s="25" t="s">
        <v>268</v>
      </c>
      <c r="F207" s="25" t="s">
        <v>23</v>
      </c>
      <c r="G207" s="25" t="s">
        <v>24</v>
      </c>
      <c r="H207" s="25" t="s">
        <v>103</v>
      </c>
      <c r="I207" s="25" t="s">
        <v>65</v>
      </c>
      <c r="J207" s="25">
        <v>44739</v>
      </c>
      <c r="K207" s="25" t="s">
        <v>113</v>
      </c>
      <c r="L207" s="25">
        <v>44740</v>
      </c>
      <c r="M207" s="25">
        <v>2022</v>
      </c>
      <c r="N207" s="25">
        <v>3</v>
      </c>
      <c r="O207" s="25">
        <v>44889</v>
      </c>
      <c r="P207" s="25">
        <v>2022</v>
      </c>
      <c r="Q207" s="25">
        <v>3</v>
      </c>
      <c r="R207" s="25">
        <v>1</v>
      </c>
      <c r="S207" s="25">
        <v>100</v>
      </c>
      <c r="T207" s="25">
        <v>100</v>
      </c>
      <c r="U207" s="25">
        <v>1</v>
      </c>
      <c r="V207" s="25" t="s">
        <v>29</v>
      </c>
      <c r="W207" s="25" t="s">
        <v>262</v>
      </c>
      <c r="X207" s="25">
        <v>0.03</v>
      </c>
    </row>
    <row r="208" spans="1:24">
      <c r="A208" s="25" t="s">
        <v>114</v>
      </c>
      <c r="B208" s="25" t="s">
        <v>102</v>
      </c>
      <c r="C208" s="25" t="s">
        <v>20</v>
      </c>
      <c r="D208" s="25" t="s">
        <v>21</v>
      </c>
      <c r="E208" s="25" t="s">
        <v>268</v>
      </c>
      <c r="F208" s="25" t="s">
        <v>23</v>
      </c>
      <c r="G208" s="25" t="s">
        <v>24</v>
      </c>
      <c r="H208" s="25" t="s">
        <v>103</v>
      </c>
      <c r="I208" s="25" t="s">
        <v>65</v>
      </c>
      <c r="J208" s="25">
        <v>44739</v>
      </c>
      <c r="K208" s="25" t="s">
        <v>115</v>
      </c>
      <c r="L208" s="25">
        <v>44740</v>
      </c>
      <c r="M208" s="25">
        <v>2022</v>
      </c>
      <c r="N208" s="25">
        <v>17</v>
      </c>
      <c r="O208" s="25">
        <v>44889</v>
      </c>
      <c r="P208" s="25">
        <v>2022</v>
      </c>
      <c r="Q208" s="25">
        <v>17</v>
      </c>
      <c r="R208" s="25">
        <v>1</v>
      </c>
      <c r="S208" s="25">
        <v>100</v>
      </c>
      <c r="T208" s="25">
        <v>100</v>
      </c>
      <c r="U208" s="25">
        <v>1</v>
      </c>
      <c r="V208" s="25" t="s">
        <v>29</v>
      </c>
      <c r="W208" s="25" t="s">
        <v>262</v>
      </c>
      <c r="X208" s="25">
        <v>0.17</v>
      </c>
    </row>
    <row r="209" spans="1:24">
      <c r="A209" s="25" t="s">
        <v>116</v>
      </c>
      <c r="B209" s="25" t="s">
        <v>102</v>
      </c>
      <c r="C209" s="25" t="s">
        <v>20</v>
      </c>
      <c r="D209" s="25" t="s">
        <v>21</v>
      </c>
      <c r="E209" s="25" t="s">
        <v>268</v>
      </c>
      <c r="F209" s="25" t="s">
        <v>23</v>
      </c>
      <c r="G209" s="25" t="s">
        <v>24</v>
      </c>
      <c r="H209" s="25" t="s">
        <v>103</v>
      </c>
      <c r="I209" s="25" t="s">
        <v>65</v>
      </c>
      <c r="J209" s="25">
        <v>44739</v>
      </c>
      <c r="K209" s="25" t="s">
        <v>117</v>
      </c>
      <c r="L209" s="25">
        <v>44740</v>
      </c>
      <c r="M209" s="25">
        <v>2022</v>
      </c>
      <c r="N209" s="25">
        <v>3</v>
      </c>
      <c r="O209" s="25">
        <v>44889</v>
      </c>
      <c r="P209" s="25">
        <v>2022</v>
      </c>
      <c r="Q209" s="25">
        <v>3</v>
      </c>
      <c r="R209" s="25">
        <v>1</v>
      </c>
      <c r="S209" s="25">
        <v>100</v>
      </c>
      <c r="T209" s="25">
        <v>100</v>
      </c>
      <c r="U209" s="25">
        <v>1</v>
      </c>
      <c r="V209" s="25" t="s">
        <v>29</v>
      </c>
      <c r="W209" s="25" t="s">
        <v>262</v>
      </c>
      <c r="X209" s="25">
        <v>0.03</v>
      </c>
    </row>
    <row r="210" spans="1:24">
      <c r="A210" s="25" t="s">
        <v>118</v>
      </c>
      <c r="B210" s="25" t="s">
        <v>102</v>
      </c>
      <c r="C210" s="25" t="s">
        <v>20</v>
      </c>
      <c r="D210" s="25" t="s">
        <v>21</v>
      </c>
      <c r="E210" s="25" t="s">
        <v>268</v>
      </c>
      <c r="F210" s="25" t="s">
        <v>23</v>
      </c>
      <c r="G210" s="25" t="s">
        <v>24</v>
      </c>
      <c r="H210" s="25" t="s">
        <v>103</v>
      </c>
      <c r="I210" s="25" t="s">
        <v>65</v>
      </c>
      <c r="J210" s="25">
        <v>44739</v>
      </c>
      <c r="K210" s="25" t="s">
        <v>119</v>
      </c>
      <c r="L210" s="25">
        <v>44740</v>
      </c>
      <c r="M210" s="25">
        <v>2022</v>
      </c>
      <c r="N210" s="25">
        <v>4</v>
      </c>
      <c r="O210" s="25">
        <v>44889</v>
      </c>
      <c r="P210" s="25">
        <v>2022</v>
      </c>
      <c r="Q210" s="25">
        <v>4</v>
      </c>
      <c r="R210" s="25">
        <v>1</v>
      </c>
      <c r="S210" s="25">
        <v>100</v>
      </c>
      <c r="T210" s="25">
        <v>100</v>
      </c>
      <c r="U210" s="25">
        <v>1</v>
      </c>
      <c r="V210" s="25" t="s">
        <v>29</v>
      </c>
      <c r="W210" s="25" t="s">
        <v>262</v>
      </c>
      <c r="X210" s="25">
        <v>0.04</v>
      </c>
    </row>
    <row r="211" spans="1:24">
      <c r="A211" s="25" t="s">
        <v>768</v>
      </c>
      <c r="B211" s="25" t="s">
        <v>312</v>
      </c>
      <c r="C211" s="25" t="s">
        <v>20</v>
      </c>
      <c r="D211" s="25" t="s">
        <v>21</v>
      </c>
      <c r="E211" s="25" t="s">
        <v>268</v>
      </c>
      <c r="F211" s="25" t="s">
        <v>23</v>
      </c>
      <c r="G211" s="25" t="s">
        <v>269</v>
      </c>
      <c r="H211" s="25" t="s">
        <v>69</v>
      </c>
      <c r="I211" s="25" t="s">
        <v>69</v>
      </c>
      <c r="J211" s="25">
        <v>44740</v>
      </c>
      <c r="K211" s="25" t="s">
        <v>769</v>
      </c>
      <c r="L211" s="25">
        <v>44740</v>
      </c>
      <c r="M211" s="25">
        <v>2022</v>
      </c>
      <c r="N211" s="25">
        <v>3</v>
      </c>
      <c r="O211" s="25">
        <v>44779</v>
      </c>
      <c r="P211" s="25">
        <v>2022</v>
      </c>
      <c r="Q211" s="25">
        <v>3</v>
      </c>
      <c r="R211" s="25">
        <v>2</v>
      </c>
      <c r="S211" s="25">
        <v>18</v>
      </c>
      <c r="T211" s="25">
        <v>26</v>
      </c>
      <c r="U211" s="25">
        <v>1</v>
      </c>
      <c r="V211" s="25" t="s">
        <v>29</v>
      </c>
      <c r="W211" s="25" t="s">
        <v>261</v>
      </c>
      <c r="X211" s="25">
        <v>0.11538461538461539</v>
      </c>
    </row>
    <row r="212" spans="1:24">
      <c r="A212" s="25" t="s">
        <v>120</v>
      </c>
      <c r="B212" s="25" t="s">
        <v>121</v>
      </c>
      <c r="C212" s="25" t="s">
        <v>20</v>
      </c>
      <c r="D212" s="25" t="s">
        <v>21</v>
      </c>
      <c r="E212" s="25" t="s">
        <v>268</v>
      </c>
      <c r="F212" s="25" t="s">
        <v>23</v>
      </c>
      <c r="G212" s="25" t="s">
        <v>24</v>
      </c>
      <c r="H212" s="25" t="s">
        <v>103</v>
      </c>
      <c r="I212" s="25" t="s">
        <v>65</v>
      </c>
      <c r="J212" s="25">
        <v>44739</v>
      </c>
      <c r="K212" s="25" t="s">
        <v>122</v>
      </c>
      <c r="L212" s="25">
        <v>44742</v>
      </c>
      <c r="M212" s="25">
        <v>2022</v>
      </c>
      <c r="N212" s="25">
        <v>10</v>
      </c>
      <c r="O212" s="25">
        <v>44769</v>
      </c>
      <c r="P212" s="25">
        <v>2022</v>
      </c>
      <c r="Q212" s="25">
        <v>10</v>
      </c>
      <c r="R212" s="25">
        <v>2</v>
      </c>
      <c r="S212" s="25">
        <v>20</v>
      </c>
      <c r="T212" s="25">
        <v>20</v>
      </c>
      <c r="U212" s="25">
        <v>1</v>
      </c>
      <c r="V212" s="25" t="s">
        <v>29</v>
      </c>
      <c r="W212" s="25" t="s">
        <v>262</v>
      </c>
      <c r="X212" s="25">
        <v>0.5</v>
      </c>
    </row>
    <row r="213" spans="1:24">
      <c r="A213" s="25" t="s">
        <v>123</v>
      </c>
      <c r="B213" s="25" t="s">
        <v>53</v>
      </c>
      <c r="C213" s="25" t="s">
        <v>20</v>
      </c>
      <c r="D213" s="25" t="s">
        <v>21</v>
      </c>
      <c r="E213" s="25" t="s">
        <v>268</v>
      </c>
      <c r="F213" s="25" t="s">
        <v>23</v>
      </c>
      <c r="G213" s="25" t="s">
        <v>50</v>
      </c>
      <c r="H213" s="25" t="s">
        <v>37</v>
      </c>
      <c r="I213" s="25" t="s">
        <v>37</v>
      </c>
      <c r="J213" s="25">
        <v>44740</v>
      </c>
      <c r="K213" s="25" t="s">
        <v>124</v>
      </c>
      <c r="L213" s="25">
        <v>44742</v>
      </c>
      <c r="M213" s="25">
        <v>2022</v>
      </c>
      <c r="N213" s="25">
        <v>6</v>
      </c>
      <c r="O213" s="25">
        <v>44754</v>
      </c>
      <c r="P213" s="25">
        <v>2022</v>
      </c>
      <c r="Q213" s="25">
        <v>6</v>
      </c>
      <c r="R213" s="25">
        <v>2</v>
      </c>
      <c r="S213" s="25">
        <v>0</v>
      </c>
      <c r="T213" s="25">
        <v>9</v>
      </c>
      <c r="U213" s="25">
        <v>1</v>
      </c>
      <c r="V213" s="25" t="s">
        <v>29</v>
      </c>
      <c r="W213" s="25" t="s">
        <v>260</v>
      </c>
      <c r="X213" s="25">
        <v>0.66666666666666663</v>
      </c>
    </row>
    <row r="214" spans="1:24">
      <c r="A214" s="25" t="s">
        <v>770</v>
      </c>
      <c r="B214" s="25" t="s">
        <v>771</v>
      </c>
      <c r="C214" s="25" t="s">
        <v>20</v>
      </c>
      <c r="D214" s="25" t="s">
        <v>21</v>
      </c>
      <c r="E214" s="25" t="s">
        <v>268</v>
      </c>
      <c r="F214" s="25" t="s">
        <v>23</v>
      </c>
      <c r="G214" s="25" t="s">
        <v>273</v>
      </c>
      <c r="H214" s="25" t="s">
        <v>148</v>
      </c>
      <c r="I214" s="25" t="s">
        <v>148</v>
      </c>
      <c r="J214" s="25">
        <v>44769</v>
      </c>
      <c r="K214" s="25" t="s">
        <v>772</v>
      </c>
      <c r="L214" s="25">
        <v>44769</v>
      </c>
      <c r="M214" s="25">
        <v>2022</v>
      </c>
      <c r="N214" s="25">
        <v>89</v>
      </c>
      <c r="O214" s="25">
        <v>44809</v>
      </c>
      <c r="P214" s="25">
        <v>2022</v>
      </c>
      <c r="Q214" s="25">
        <v>89</v>
      </c>
      <c r="R214" s="25">
        <v>9</v>
      </c>
      <c r="S214" s="25">
        <v>14</v>
      </c>
      <c r="T214" s="25">
        <v>25</v>
      </c>
      <c r="U214" s="25">
        <v>1</v>
      </c>
      <c r="V214" s="25" t="s">
        <v>773</v>
      </c>
      <c r="W214" s="25" t="s">
        <v>260</v>
      </c>
      <c r="X214" s="25">
        <v>3.56</v>
      </c>
    </row>
    <row r="215" spans="1:24">
      <c r="A215" s="25" t="s">
        <v>71</v>
      </c>
      <c r="B215" s="25" t="s">
        <v>72</v>
      </c>
      <c r="C215" s="25" t="s">
        <v>20</v>
      </c>
      <c r="D215" s="25" t="s">
        <v>21</v>
      </c>
      <c r="E215" s="25" t="s">
        <v>268</v>
      </c>
      <c r="F215" s="25" t="s">
        <v>23</v>
      </c>
      <c r="G215" s="25" t="s">
        <v>24</v>
      </c>
      <c r="H215" s="25" t="s">
        <v>69</v>
      </c>
      <c r="I215" s="25" t="s">
        <v>69</v>
      </c>
      <c r="J215" s="25">
        <v>44756</v>
      </c>
      <c r="K215" s="25" t="s">
        <v>73</v>
      </c>
      <c r="L215" s="25">
        <v>44757</v>
      </c>
      <c r="M215" s="25">
        <v>2022</v>
      </c>
      <c r="N215" s="25">
        <v>16</v>
      </c>
      <c r="O215" s="25">
        <v>44775</v>
      </c>
      <c r="P215" s="25">
        <v>2022</v>
      </c>
      <c r="Q215" s="25">
        <v>13</v>
      </c>
      <c r="R215" s="25">
        <v>4</v>
      </c>
      <c r="S215" s="25">
        <v>0</v>
      </c>
      <c r="T215" s="25">
        <v>11</v>
      </c>
      <c r="U215" s="25">
        <v>1</v>
      </c>
      <c r="V215" s="25" t="s">
        <v>773</v>
      </c>
      <c r="W215" s="25" t="s">
        <v>261</v>
      </c>
      <c r="X215" s="25">
        <v>1.1818181818181819</v>
      </c>
    </row>
    <row r="216" spans="1:24">
      <c r="A216" s="25" t="s">
        <v>76</v>
      </c>
      <c r="B216" s="25" t="s">
        <v>77</v>
      </c>
      <c r="C216" s="25" t="s">
        <v>20</v>
      </c>
      <c r="D216" s="25" t="s">
        <v>21</v>
      </c>
      <c r="E216" s="25" t="s">
        <v>268</v>
      </c>
      <c r="F216" s="25" t="s">
        <v>23</v>
      </c>
      <c r="G216" s="25" t="s">
        <v>24</v>
      </c>
      <c r="H216" s="25" t="s">
        <v>30</v>
      </c>
      <c r="I216" s="25" t="s">
        <v>30</v>
      </c>
      <c r="J216" s="25">
        <v>44757</v>
      </c>
      <c r="K216" s="25" t="s">
        <v>78</v>
      </c>
      <c r="L216" s="25">
        <v>44760</v>
      </c>
      <c r="M216" s="25">
        <v>2022</v>
      </c>
      <c r="N216" s="25">
        <v>2</v>
      </c>
      <c r="O216" s="25">
        <v>44781</v>
      </c>
      <c r="P216" s="25">
        <v>2022</v>
      </c>
      <c r="Q216" s="25">
        <v>2</v>
      </c>
      <c r="R216" s="25">
        <v>1</v>
      </c>
      <c r="S216" s="25">
        <v>2</v>
      </c>
      <c r="T216" s="25">
        <v>14</v>
      </c>
      <c r="U216" s="25">
        <v>1</v>
      </c>
      <c r="V216" s="25" t="s">
        <v>773</v>
      </c>
      <c r="W216" s="25" t="s">
        <v>262</v>
      </c>
      <c r="X216" s="25">
        <v>0.14285714285714285</v>
      </c>
    </row>
    <row r="217" spans="1:24">
      <c r="A217" s="25" t="s">
        <v>79</v>
      </c>
      <c r="B217" s="25" t="s">
        <v>80</v>
      </c>
      <c r="C217" s="25" t="s">
        <v>20</v>
      </c>
      <c r="D217" s="25" t="s">
        <v>21</v>
      </c>
      <c r="E217" s="25" t="s">
        <v>268</v>
      </c>
      <c r="F217" s="25" t="s">
        <v>23</v>
      </c>
      <c r="G217" s="25" t="s">
        <v>81</v>
      </c>
      <c r="H217" s="25" t="s">
        <v>30</v>
      </c>
      <c r="I217" s="25" t="s">
        <v>30</v>
      </c>
      <c r="J217" s="25">
        <v>44782</v>
      </c>
      <c r="K217" s="25" t="s">
        <v>82</v>
      </c>
      <c r="L217" s="25">
        <v>44783</v>
      </c>
      <c r="M217" s="25">
        <v>2022</v>
      </c>
      <c r="N217" s="25">
        <v>7</v>
      </c>
      <c r="O217" s="25">
        <v>44790</v>
      </c>
      <c r="P217" s="25">
        <v>2022</v>
      </c>
      <c r="Q217" s="25">
        <v>5</v>
      </c>
      <c r="R217" s="25">
        <v>1</v>
      </c>
      <c r="S217" s="25">
        <v>4</v>
      </c>
      <c r="T217" s="25">
        <v>6</v>
      </c>
      <c r="U217" s="25">
        <v>1</v>
      </c>
      <c r="V217" s="25" t="s">
        <v>773</v>
      </c>
      <c r="W217" s="25" t="s">
        <v>262</v>
      </c>
      <c r="X217" s="25">
        <v>0.83333333333333337</v>
      </c>
    </row>
    <row r="218" spans="1:24">
      <c r="A218" s="25" t="s">
        <v>105</v>
      </c>
      <c r="B218" s="25" t="s">
        <v>106</v>
      </c>
      <c r="C218" s="25" t="s">
        <v>20</v>
      </c>
      <c r="D218" s="25" t="s">
        <v>21</v>
      </c>
      <c r="E218" s="25" t="s">
        <v>268</v>
      </c>
      <c r="F218" s="25" t="s">
        <v>23</v>
      </c>
      <c r="G218" s="25" t="s">
        <v>24</v>
      </c>
      <c r="H218" s="25" t="s">
        <v>107</v>
      </c>
      <c r="I218" s="25" t="s">
        <v>107</v>
      </c>
      <c r="J218" s="25">
        <v>44764</v>
      </c>
      <c r="K218" s="25" t="s">
        <v>108</v>
      </c>
      <c r="L218" s="25">
        <v>44764</v>
      </c>
      <c r="M218" s="25">
        <v>2022</v>
      </c>
      <c r="N218" s="25">
        <v>57</v>
      </c>
      <c r="O218" s="25">
        <v>44799</v>
      </c>
      <c r="P218" s="25">
        <v>2022</v>
      </c>
      <c r="Q218" s="25">
        <v>57</v>
      </c>
      <c r="R218" s="25">
        <v>5</v>
      </c>
      <c r="S218" s="25">
        <v>18</v>
      </c>
      <c r="T218" s="25">
        <v>24</v>
      </c>
      <c r="U218" s="25">
        <v>1</v>
      </c>
      <c r="V218" s="25" t="s">
        <v>773</v>
      </c>
      <c r="W218" s="25" t="s">
        <v>261</v>
      </c>
      <c r="X218" s="25">
        <v>2.375</v>
      </c>
    </row>
    <row r="219" spans="1:24">
      <c r="A219" s="25" t="s">
        <v>109</v>
      </c>
      <c r="B219" s="25" t="s">
        <v>110</v>
      </c>
      <c r="C219" s="25" t="s">
        <v>20</v>
      </c>
      <c r="D219" s="25" t="s">
        <v>21</v>
      </c>
      <c r="E219" s="25" t="s">
        <v>268</v>
      </c>
      <c r="F219" s="25" t="s">
        <v>23</v>
      </c>
      <c r="G219" s="25" t="s">
        <v>50</v>
      </c>
      <c r="H219" s="25" t="s">
        <v>107</v>
      </c>
      <c r="I219" s="25" t="s">
        <v>107</v>
      </c>
      <c r="J219" s="25">
        <v>44764</v>
      </c>
      <c r="K219" s="25" t="s">
        <v>111</v>
      </c>
      <c r="L219" s="25">
        <v>44764</v>
      </c>
      <c r="M219" s="25">
        <v>2022</v>
      </c>
      <c r="N219" s="25">
        <v>4</v>
      </c>
      <c r="O219" s="25">
        <v>44783</v>
      </c>
      <c r="P219" s="25">
        <v>2022</v>
      </c>
      <c r="Q219" s="25">
        <v>4</v>
      </c>
      <c r="R219" s="25">
        <v>2</v>
      </c>
      <c r="S219" s="25">
        <v>5</v>
      </c>
      <c r="T219" s="25">
        <v>12</v>
      </c>
      <c r="U219" s="25">
        <v>1</v>
      </c>
      <c r="V219" s="25" t="s">
        <v>773</v>
      </c>
      <c r="W219" s="25" t="s">
        <v>261</v>
      </c>
      <c r="X219" s="25">
        <v>0.33333333333333331</v>
      </c>
    </row>
    <row r="220" spans="1:24">
      <c r="A220" s="25" t="s">
        <v>125</v>
      </c>
      <c r="B220" s="25" t="s">
        <v>126</v>
      </c>
      <c r="C220" s="25" t="s">
        <v>20</v>
      </c>
      <c r="D220" s="25" t="s">
        <v>21</v>
      </c>
      <c r="E220" s="25" t="s">
        <v>268</v>
      </c>
      <c r="F220" s="25" t="s">
        <v>23</v>
      </c>
      <c r="G220" s="25" t="s">
        <v>50</v>
      </c>
      <c r="H220" s="25" t="s">
        <v>127</v>
      </c>
      <c r="I220" s="25" t="s">
        <v>127</v>
      </c>
      <c r="J220" s="25">
        <v>44761</v>
      </c>
      <c r="K220" s="25" t="s">
        <v>128</v>
      </c>
      <c r="L220" s="25">
        <v>44762</v>
      </c>
      <c r="M220" s="25">
        <v>2022</v>
      </c>
      <c r="N220" s="25">
        <v>1</v>
      </c>
      <c r="O220" s="25">
        <v>44795</v>
      </c>
      <c r="P220" s="25">
        <v>2022</v>
      </c>
      <c r="Q220" s="25">
        <v>1</v>
      </c>
      <c r="R220" s="25">
        <v>1</v>
      </c>
      <c r="S220" s="25">
        <v>14</v>
      </c>
      <c r="T220" s="25">
        <v>22</v>
      </c>
      <c r="U220" s="25">
        <v>1</v>
      </c>
      <c r="V220" s="25" t="s">
        <v>773</v>
      </c>
      <c r="W220" s="25" t="s">
        <v>262</v>
      </c>
      <c r="X220" s="25">
        <v>4.5454545454545456E-2</v>
      </c>
    </row>
    <row r="221" spans="1:24">
      <c r="A221" s="25" t="s">
        <v>129</v>
      </c>
      <c r="B221" s="25" t="s">
        <v>126</v>
      </c>
      <c r="C221" s="25" t="s">
        <v>20</v>
      </c>
      <c r="D221" s="25" t="s">
        <v>21</v>
      </c>
      <c r="E221" s="25" t="s">
        <v>268</v>
      </c>
      <c r="F221" s="25" t="s">
        <v>23</v>
      </c>
      <c r="G221" s="25" t="s">
        <v>50</v>
      </c>
      <c r="H221" s="25" t="s">
        <v>127</v>
      </c>
      <c r="I221" s="25" t="s">
        <v>127</v>
      </c>
      <c r="J221" s="25">
        <v>44761</v>
      </c>
      <c r="K221" s="25" t="s">
        <v>130</v>
      </c>
      <c r="L221" s="25">
        <v>44762</v>
      </c>
      <c r="M221" s="25">
        <v>2022</v>
      </c>
      <c r="N221" s="25">
        <v>1</v>
      </c>
      <c r="O221" s="25">
        <v>44795</v>
      </c>
      <c r="P221" s="25">
        <v>2022</v>
      </c>
      <c r="Q221" s="25">
        <v>1</v>
      </c>
      <c r="R221" s="25">
        <v>1</v>
      </c>
      <c r="S221" s="25">
        <v>15</v>
      </c>
      <c r="T221" s="25">
        <v>22</v>
      </c>
      <c r="U221" s="25">
        <v>1</v>
      </c>
      <c r="V221" s="25" t="s">
        <v>773</v>
      </c>
      <c r="W221" s="25" t="s">
        <v>262</v>
      </c>
      <c r="X221" s="25">
        <v>4.5454545454545456E-2</v>
      </c>
    </row>
    <row r="222" spans="1:24">
      <c r="A222" s="25" t="s">
        <v>131</v>
      </c>
      <c r="B222" s="25" t="s">
        <v>126</v>
      </c>
      <c r="C222" s="25" t="s">
        <v>20</v>
      </c>
      <c r="D222" s="25" t="s">
        <v>21</v>
      </c>
      <c r="E222" s="25" t="s">
        <v>268</v>
      </c>
      <c r="F222" s="25" t="s">
        <v>23</v>
      </c>
      <c r="G222" s="25" t="s">
        <v>50</v>
      </c>
      <c r="H222" s="25" t="s">
        <v>127</v>
      </c>
      <c r="I222" s="25" t="s">
        <v>127</v>
      </c>
      <c r="J222" s="25">
        <v>44761</v>
      </c>
      <c r="K222" s="25" t="s">
        <v>132</v>
      </c>
      <c r="L222" s="25">
        <v>44762</v>
      </c>
      <c r="M222" s="25">
        <v>2022</v>
      </c>
      <c r="N222" s="25">
        <v>1</v>
      </c>
      <c r="O222" s="25">
        <v>44795</v>
      </c>
      <c r="P222" s="25">
        <v>2022</v>
      </c>
      <c r="Q222" s="25">
        <v>1</v>
      </c>
      <c r="R222" s="25">
        <v>1</v>
      </c>
      <c r="S222" s="25">
        <v>14</v>
      </c>
      <c r="T222" s="25">
        <v>22</v>
      </c>
      <c r="U222" s="25">
        <v>1</v>
      </c>
      <c r="V222" s="25" t="s">
        <v>773</v>
      </c>
      <c r="W222" s="25" t="s">
        <v>262</v>
      </c>
      <c r="X222" s="25">
        <v>4.5454545454545456E-2</v>
      </c>
    </row>
    <row r="223" spans="1:24">
      <c r="A223" s="25" t="s">
        <v>133</v>
      </c>
      <c r="B223" s="25" t="s">
        <v>126</v>
      </c>
      <c r="C223" s="25" t="s">
        <v>20</v>
      </c>
      <c r="D223" s="25" t="s">
        <v>21</v>
      </c>
      <c r="E223" s="25" t="s">
        <v>268</v>
      </c>
      <c r="F223" s="25" t="s">
        <v>23</v>
      </c>
      <c r="G223" s="25" t="s">
        <v>50</v>
      </c>
      <c r="H223" s="25" t="s">
        <v>127</v>
      </c>
      <c r="I223" s="25" t="s">
        <v>127</v>
      </c>
      <c r="J223" s="25">
        <v>44761</v>
      </c>
      <c r="K223" s="25" t="s">
        <v>134</v>
      </c>
      <c r="L223" s="25">
        <v>44762</v>
      </c>
      <c r="M223" s="25">
        <v>2022</v>
      </c>
      <c r="N223" s="25">
        <v>20</v>
      </c>
      <c r="O223" s="25">
        <v>44795</v>
      </c>
      <c r="P223" s="25">
        <v>2022</v>
      </c>
      <c r="Q223" s="25">
        <v>20</v>
      </c>
      <c r="R223" s="25">
        <v>3</v>
      </c>
      <c r="S223" s="25">
        <v>14</v>
      </c>
      <c r="T223" s="25">
        <v>22</v>
      </c>
      <c r="U223" s="25">
        <v>1</v>
      </c>
      <c r="V223" s="25" t="s">
        <v>773</v>
      </c>
      <c r="W223" s="25" t="s">
        <v>262</v>
      </c>
      <c r="X223" s="25">
        <v>0.90909090909090906</v>
      </c>
    </row>
    <row r="224" spans="1:24">
      <c r="A224" s="25" t="s">
        <v>135</v>
      </c>
      <c r="B224" s="25" t="s">
        <v>126</v>
      </c>
      <c r="C224" s="25" t="s">
        <v>20</v>
      </c>
      <c r="D224" s="25" t="s">
        <v>21</v>
      </c>
      <c r="E224" s="25" t="s">
        <v>268</v>
      </c>
      <c r="F224" s="25" t="s">
        <v>23</v>
      </c>
      <c r="G224" s="25" t="s">
        <v>50</v>
      </c>
      <c r="H224" s="25" t="s">
        <v>127</v>
      </c>
      <c r="I224" s="25" t="s">
        <v>127</v>
      </c>
      <c r="J224" s="25">
        <v>44761</v>
      </c>
      <c r="K224" s="25" t="s">
        <v>136</v>
      </c>
      <c r="L224" s="25">
        <v>44762</v>
      </c>
      <c r="M224" s="25">
        <v>2022</v>
      </c>
      <c r="N224" s="25">
        <v>3</v>
      </c>
      <c r="O224" s="25">
        <v>44795</v>
      </c>
      <c r="P224" s="25">
        <v>2022</v>
      </c>
      <c r="Q224" s="25">
        <v>3</v>
      </c>
      <c r="R224" s="25">
        <v>1</v>
      </c>
      <c r="S224" s="25">
        <v>14</v>
      </c>
      <c r="T224" s="25">
        <v>22</v>
      </c>
      <c r="U224" s="25">
        <v>1</v>
      </c>
      <c r="V224" s="25" t="s">
        <v>773</v>
      </c>
      <c r="W224" s="25" t="s">
        <v>262</v>
      </c>
      <c r="X224" s="25">
        <v>0.13636363636363635</v>
      </c>
    </row>
    <row r="225" spans="1:24">
      <c r="A225" s="25" t="s">
        <v>137</v>
      </c>
      <c r="B225" s="25" t="s">
        <v>126</v>
      </c>
      <c r="C225" s="25" t="s">
        <v>20</v>
      </c>
      <c r="D225" s="25" t="s">
        <v>21</v>
      </c>
      <c r="E225" s="25" t="s">
        <v>268</v>
      </c>
      <c r="F225" s="25" t="s">
        <v>23</v>
      </c>
      <c r="G225" s="25" t="s">
        <v>50</v>
      </c>
      <c r="H225" s="25" t="s">
        <v>127</v>
      </c>
      <c r="I225" s="25" t="s">
        <v>127</v>
      </c>
      <c r="J225" s="25">
        <v>44761</v>
      </c>
      <c r="K225" s="25" t="s">
        <v>138</v>
      </c>
      <c r="L225" s="25">
        <v>44762</v>
      </c>
      <c r="M225" s="25">
        <v>2022</v>
      </c>
      <c r="N225" s="25">
        <v>1</v>
      </c>
      <c r="O225" s="25">
        <v>44795</v>
      </c>
      <c r="P225" s="25">
        <v>2022</v>
      </c>
      <c r="Q225" s="25">
        <v>1</v>
      </c>
      <c r="R225" s="25">
        <v>1</v>
      </c>
      <c r="S225" s="25">
        <v>14</v>
      </c>
      <c r="T225" s="25">
        <v>22</v>
      </c>
      <c r="U225" s="25">
        <v>1</v>
      </c>
      <c r="V225" s="25" t="s">
        <v>773</v>
      </c>
      <c r="W225" s="25" t="s">
        <v>262</v>
      </c>
      <c r="X225" s="25">
        <v>4.5454545454545456E-2</v>
      </c>
    </row>
    <row r="226" spans="1:24">
      <c r="A226" s="25" t="s">
        <v>139</v>
      </c>
      <c r="B226" s="25" t="s">
        <v>126</v>
      </c>
      <c r="C226" s="25" t="s">
        <v>20</v>
      </c>
      <c r="D226" s="25" t="s">
        <v>21</v>
      </c>
      <c r="E226" s="25" t="s">
        <v>268</v>
      </c>
      <c r="F226" s="25" t="s">
        <v>23</v>
      </c>
      <c r="G226" s="25" t="s">
        <v>50</v>
      </c>
      <c r="H226" s="25" t="s">
        <v>127</v>
      </c>
      <c r="I226" s="25" t="s">
        <v>127</v>
      </c>
      <c r="J226" s="25">
        <v>44761</v>
      </c>
      <c r="K226" s="25" t="s">
        <v>140</v>
      </c>
      <c r="L226" s="25">
        <v>44762</v>
      </c>
      <c r="M226" s="25">
        <v>2022</v>
      </c>
      <c r="N226" s="25">
        <v>30</v>
      </c>
      <c r="O226" s="25">
        <v>44795</v>
      </c>
      <c r="P226" s="25">
        <v>2022</v>
      </c>
      <c r="Q226" s="25">
        <v>30</v>
      </c>
      <c r="R226" s="25">
        <v>4</v>
      </c>
      <c r="S226" s="25">
        <v>14</v>
      </c>
      <c r="T226" s="25">
        <v>22</v>
      </c>
      <c r="U226" s="25">
        <v>1</v>
      </c>
      <c r="V226" s="25" t="s">
        <v>773</v>
      </c>
      <c r="W226" s="25" t="s">
        <v>262</v>
      </c>
      <c r="X226" s="25">
        <v>1.3636363636363635</v>
      </c>
    </row>
    <row r="227" spans="1:24">
      <c r="A227" s="25" t="s">
        <v>141</v>
      </c>
      <c r="B227" s="25" t="s">
        <v>142</v>
      </c>
      <c r="C227" s="25" t="s">
        <v>20</v>
      </c>
      <c r="D227" s="25" t="s">
        <v>21</v>
      </c>
      <c r="E227" s="25" t="s">
        <v>268</v>
      </c>
      <c r="F227" s="25" t="s">
        <v>23</v>
      </c>
      <c r="G227" s="25" t="s">
        <v>24</v>
      </c>
      <c r="H227" s="25" t="s">
        <v>143</v>
      </c>
      <c r="I227" s="25" t="s">
        <v>107</v>
      </c>
      <c r="J227" s="25">
        <v>44764</v>
      </c>
      <c r="K227" s="25" t="s">
        <v>144</v>
      </c>
      <c r="L227" s="25">
        <v>44764</v>
      </c>
      <c r="M227" s="25">
        <v>2022</v>
      </c>
      <c r="N227" s="25">
        <v>33</v>
      </c>
      <c r="O227" s="25">
        <v>44796</v>
      </c>
      <c r="P227" s="25">
        <v>2022</v>
      </c>
      <c r="Q227" s="25">
        <v>33</v>
      </c>
      <c r="R227" s="25">
        <v>6</v>
      </c>
      <c r="S227" s="25">
        <v>19</v>
      </c>
      <c r="T227" s="25">
        <v>21</v>
      </c>
      <c r="U227" s="25">
        <v>1</v>
      </c>
      <c r="V227" s="25" t="s">
        <v>773</v>
      </c>
      <c r="W227" s="25" t="s">
        <v>261</v>
      </c>
      <c r="X227" s="25">
        <v>1.5714285714285714</v>
      </c>
    </row>
    <row r="228" spans="1:24">
      <c r="A228" s="25" t="s">
        <v>145</v>
      </c>
      <c r="B228" s="25" t="s">
        <v>146</v>
      </c>
      <c r="C228" s="25" t="s">
        <v>20</v>
      </c>
      <c r="D228" s="25" t="s">
        <v>21</v>
      </c>
      <c r="E228" s="25" t="s">
        <v>268</v>
      </c>
      <c r="F228" s="25" t="s">
        <v>23</v>
      </c>
      <c r="G228" s="25" t="s">
        <v>24</v>
      </c>
      <c r="H228" s="25" t="s">
        <v>147</v>
      </c>
      <c r="I228" s="25" t="s">
        <v>148</v>
      </c>
      <c r="J228" s="25">
        <v>44776</v>
      </c>
      <c r="K228" s="25" t="s">
        <v>149</v>
      </c>
      <c r="L228" s="25">
        <v>44777</v>
      </c>
      <c r="M228" s="25">
        <v>2022</v>
      </c>
      <c r="N228" s="25">
        <v>105</v>
      </c>
      <c r="O228" s="25">
        <v>44830</v>
      </c>
      <c r="P228" s="25">
        <v>2022</v>
      </c>
      <c r="Q228" s="25">
        <v>105</v>
      </c>
      <c r="R228" s="25">
        <v>10</v>
      </c>
      <c r="S228" s="25">
        <v>32</v>
      </c>
      <c r="T228" s="25">
        <v>36</v>
      </c>
      <c r="U228" s="25">
        <v>1</v>
      </c>
      <c r="V228" s="25" t="s">
        <v>773</v>
      </c>
      <c r="W228" s="25" t="s">
        <v>260</v>
      </c>
      <c r="X228" s="25">
        <v>2.9166666666666665</v>
      </c>
    </row>
    <row r="229" spans="1:24">
      <c r="A229" s="25" t="s">
        <v>150</v>
      </c>
      <c r="B229" s="25" t="s">
        <v>151</v>
      </c>
      <c r="C229" s="25" t="s">
        <v>20</v>
      </c>
      <c r="D229" s="25" t="s">
        <v>21</v>
      </c>
      <c r="E229" s="25" t="s">
        <v>268</v>
      </c>
      <c r="F229" s="25" t="s">
        <v>23</v>
      </c>
      <c r="G229" s="25" t="s">
        <v>81</v>
      </c>
      <c r="H229" s="25" t="s">
        <v>152</v>
      </c>
      <c r="I229" s="25" t="s">
        <v>152</v>
      </c>
      <c r="J229" s="25">
        <v>44776</v>
      </c>
      <c r="K229" s="25" t="s">
        <v>153</v>
      </c>
      <c r="L229" s="25">
        <v>44776</v>
      </c>
      <c r="M229" s="25">
        <v>2022</v>
      </c>
      <c r="N229" s="25">
        <v>4</v>
      </c>
      <c r="O229" s="25">
        <v>44783</v>
      </c>
      <c r="P229" s="25">
        <v>2022</v>
      </c>
      <c r="Q229" s="25">
        <v>2</v>
      </c>
      <c r="R229" s="25">
        <v>1</v>
      </c>
      <c r="S229" s="25">
        <v>4</v>
      </c>
      <c r="T229" s="25">
        <v>6</v>
      </c>
      <c r="U229" s="25">
        <v>1</v>
      </c>
      <c r="V229" s="25" t="s">
        <v>773</v>
      </c>
      <c r="W229" s="25" t="s">
        <v>260</v>
      </c>
      <c r="X229" s="25">
        <v>0.33333333333333331</v>
      </c>
    </row>
    <row r="230" spans="1:24">
      <c r="A230" s="25" t="s">
        <v>154</v>
      </c>
      <c r="B230" s="25" t="s">
        <v>155</v>
      </c>
      <c r="C230" s="25" t="s">
        <v>20</v>
      </c>
      <c r="D230" s="25" t="s">
        <v>21</v>
      </c>
      <c r="E230" s="25" t="s">
        <v>268</v>
      </c>
      <c r="F230" s="25" t="s">
        <v>23</v>
      </c>
      <c r="G230" s="25" t="s">
        <v>81</v>
      </c>
      <c r="H230" s="25" t="s">
        <v>152</v>
      </c>
      <c r="I230" s="25" t="s">
        <v>152</v>
      </c>
      <c r="J230" s="25">
        <v>44775</v>
      </c>
      <c r="K230" s="25" t="s">
        <v>156</v>
      </c>
      <c r="L230" s="25">
        <v>44775</v>
      </c>
      <c r="M230" s="25">
        <v>2022</v>
      </c>
      <c r="N230" s="25">
        <v>8</v>
      </c>
      <c r="O230" s="25">
        <v>44868</v>
      </c>
      <c r="P230" s="25">
        <v>2022</v>
      </c>
      <c r="Q230" s="25">
        <v>8</v>
      </c>
      <c r="R230" s="25">
        <v>2</v>
      </c>
      <c r="S230" s="25">
        <v>58</v>
      </c>
      <c r="T230" s="25">
        <v>63</v>
      </c>
      <c r="U230" s="25">
        <v>1</v>
      </c>
      <c r="V230" s="25" t="s">
        <v>773</v>
      </c>
      <c r="W230" s="25" t="s">
        <v>260</v>
      </c>
      <c r="X230" s="25">
        <v>0.12698412698412698</v>
      </c>
    </row>
    <row r="231" spans="1:24">
      <c r="A231" s="25" t="s">
        <v>157</v>
      </c>
      <c r="B231" s="25" t="s">
        <v>158</v>
      </c>
      <c r="C231" s="25" t="s">
        <v>20</v>
      </c>
      <c r="D231" s="25" t="s">
        <v>21</v>
      </c>
      <c r="E231" s="25" t="s">
        <v>268</v>
      </c>
      <c r="F231" s="25" t="s">
        <v>23</v>
      </c>
      <c r="G231" s="25" t="s">
        <v>50</v>
      </c>
      <c r="H231" s="25" t="s">
        <v>159</v>
      </c>
      <c r="I231" s="25" t="s">
        <v>159</v>
      </c>
      <c r="J231" s="25">
        <v>44764</v>
      </c>
      <c r="K231" s="25" t="s">
        <v>160</v>
      </c>
      <c r="L231" s="25">
        <v>44764</v>
      </c>
      <c r="M231" s="25">
        <v>2022</v>
      </c>
      <c r="N231" s="25">
        <v>20</v>
      </c>
      <c r="O231" s="25">
        <v>44804</v>
      </c>
      <c r="P231" s="25">
        <v>2022</v>
      </c>
      <c r="Q231" s="25">
        <v>20</v>
      </c>
      <c r="R231" s="25">
        <v>5</v>
      </c>
      <c r="S231" s="25">
        <v>15</v>
      </c>
      <c r="T231" s="25">
        <v>25</v>
      </c>
      <c r="U231" s="25">
        <v>1</v>
      </c>
      <c r="V231" s="25" t="s">
        <v>773</v>
      </c>
      <c r="W231" s="25" t="s">
        <v>261</v>
      </c>
      <c r="X231" s="25">
        <v>0.8</v>
      </c>
    </row>
    <row r="232" spans="1:24">
      <c r="A232" s="25" t="s">
        <v>161</v>
      </c>
      <c r="B232" s="25" t="s">
        <v>162</v>
      </c>
      <c r="C232" s="25" t="s">
        <v>20</v>
      </c>
      <c r="D232" s="25" t="s">
        <v>21</v>
      </c>
      <c r="E232" s="25" t="s">
        <v>268</v>
      </c>
      <c r="F232" s="25" t="s">
        <v>23</v>
      </c>
      <c r="G232" s="25" t="s">
        <v>24</v>
      </c>
      <c r="H232" s="25" t="s">
        <v>163</v>
      </c>
      <c r="I232" s="25" t="s">
        <v>159</v>
      </c>
      <c r="J232" s="25">
        <v>44769</v>
      </c>
      <c r="K232" s="25" t="s">
        <v>164</v>
      </c>
      <c r="L232" s="25">
        <v>44769</v>
      </c>
      <c r="M232" s="25">
        <v>2022</v>
      </c>
      <c r="N232" s="25">
        <v>35</v>
      </c>
      <c r="O232" s="25">
        <v>44791</v>
      </c>
      <c r="P232" s="25">
        <v>2022</v>
      </c>
      <c r="Q232" s="25">
        <v>35</v>
      </c>
      <c r="R232" s="25">
        <v>4</v>
      </c>
      <c r="S232" s="25">
        <v>1</v>
      </c>
      <c r="T232" s="25">
        <v>15</v>
      </c>
      <c r="U232" s="25">
        <v>1</v>
      </c>
      <c r="V232" s="25" t="s">
        <v>773</v>
      </c>
      <c r="W232" s="25" t="s">
        <v>260</v>
      </c>
      <c r="X232" s="25">
        <v>2.3333333333333335</v>
      </c>
    </row>
    <row r="233" spans="1:24">
      <c r="A233" s="25" t="s">
        <v>165</v>
      </c>
      <c r="B233" s="25" t="s">
        <v>166</v>
      </c>
      <c r="C233" s="25" t="s">
        <v>20</v>
      </c>
      <c r="D233" s="25" t="s">
        <v>21</v>
      </c>
      <c r="E233" s="25" t="s">
        <v>268</v>
      </c>
      <c r="F233" s="25" t="s">
        <v>23</v>
      </c>
      <c r="G233" s="25" t="s">
        <v>81</v>
      </c>
      <c r="H233" s="25" t="s">
        <v>163</v>
      </c>
      <c r="I233" s="25" t="s">
        <v>159</v>
      </c>
      <c r="J233" s="25">
        <v>44776</v>
      </c>
      <c r="K233" s="25" t="s">
        <v>167</v>
      </c>
      <c r="L233" s="25">
        <v>44777</v>
      </c>
      <c r="M233" s="25">
        <v>2022</v>
      </c>
      <c r="N233" s="25">
        <v>3</v>
      </c>
      <c r="O233" s="25">
        <v>44789</v>
      </c>
      <c r="P233" s="25">
        <v>2022</v>
      </c>
      <c r="Q233" s="25">
        <v>2</v>
      </c>
      <c r="R233" s="25">
        <v>1</v>
      </c>
      <c r="S233" s="25">
        <v>0</v>
      </c>
      <c r="T233" s="25">
        <v>9</v>
      </c>
      <c r="U233" s="25">
        <v>1</v>
      </c>
      <c r="V233" s="25" t="s">
        <v>773</v>
      </c>
      <c r="W233" s="25" t="s">
        <v>260</v>
      </c>
      <c r="X233" s="25">
        <v>0.22222222222222221</v>
      </c>
    </row>
    <row r="234" spans="1:24">
      <c r="A234" s="25" t="s">
        <v>171</v>
      </c>
      <c r="B234" s="25" t="s">
        <v>172</v>
      </c>
      <c r="C234" s="25" t="s">
        <v>20</v>
      </c>
      <c r="D234" s="25" t="s">
        <v>21</v>
      </c>
      <c r="E234" s="25" t="s">
        <v>268</v>
      </c>
      <c r="F234" s="25" t="s">
        <v>23</v>
      </c>
      <c r="G234" s="25" t="s">
        <v>50</v>
      </c>
      <c r="H234" s="25" t="s">
        <v>173</v>
      </c>
      <c r="I234" s="25" t="s">
        <v>173</v>
      </c>
      <c r="J234" s="25">
        <v>44795</v>
      </c>
      <c r="K234" s="25" t="s">
        <v>174</v>
      </c>
      <c r="L234" s="25">
        <v>44796</v>
      </c>
      <c r="M234" s="25">
        <v>2022</v>
      </c>
      <c r="N234" s="25">
        <v>5</v>
      </c>
      <c r="O234" s="25">
        <v>44844</v>
      </c>
      <c r="P234" s="25">
        <v>2022</v>
      </c>
      <c r="Q234" s="25">
        <v>5</v>
      </c>
      <c r="R234" s="25">
        <v>3</v>
      </c>
      <c r="S234" s="25">
        <v>19</v>
      </c>
      <c r="T234" s="25">
        <v>32</v>
      </c>
      <c r="U234" s="25">
        <v>1</v>
      </c>
      <c r="V234" s="25" t="s">
        <v>773</v>
      </c>
      <c r="W234" s="25" t="s">
        <v>263</v>
      </c>
      <c r="X234" s="25">
        <v>0.15625</v>
      </c>
    </row>
    <row r="235" spans="1:24">
      <c r="A235" s="25" t="s">
        <v>175</v>
      </c>
      <c r="B235" s="25" t="s">
        <v>172</v>
      </c>
      <c r="C235" s="25" t="s">
        <v>20</v>
      </c>
      <c r="D235" s="25" t="s">
        <v>21</v>
      </c>
      <c r="E235" s="25" t="s">
        <v>268</v>
      </c>
      <c r="F235" s="25" t="s">
        <v>23</v>
      </c>
      <c r="G235" s="25" t="s">
        <v>50</v>
      </c>
      <c r="H235" s="25" t="s">
        <v>173</v>
      </c>
      <c r="I235" s="25" t="s">
        <v>173</v>
      </c>
      <c r="J235" s="25">
        <v>44795</v>
      </c>
      <c r="K235" s="25" t="s">
        <v>176</v>
      </c>
      <c r="L235" s="25">
        <v>44796</v>
      </c>
      <c r="M235" s="25">
        <v>2022</v>
      </c>
      <c r="N235" s="25">
        <v>2</v>
      </c>
      <c r="O235" s="25">
        <v>44813</v>
      </c>
      <c r="P235" s="25">
        <v>2022</v>
      </c>
      <c r="Q235" s="25">
        <v>2</v>
      </c>
      <c r="R235" s="25">
        <v>1</v>
      </c>
      <c r="S235" s="25">
        <v>2</v>
      </c>
      <c r="T235" s="25">
        <v>12</v>
      </c>
      <c r="U235" s="25">
        <v>1</v>
      </c>
      <c r="V235" s="25" t="s">
        <v>773</v>
      </c>
      <c r="W235" s="25" t="s">
        <v>263</v>
      </c>
      <c r="X235" s="25">
        <v>0.16666666666666666</v>
      </c>
    </row>
    <row r="236" spans="1:24">
      <c r="A236" s="25" t="s">
        <v>177</v>
      </c>
      <c r="B236" s="25" t="s">
        <v>178</v>
      </c>
      <c r="C236" s="25" t="s">
        <v>20</v>
      </c>
      <c r="D236" s="25" t="s">
        <v>21</v>
      </c>
      <c r="E236" s="25" t="s">
        <v>268</v>
      </c>
      <c r="F236" s="25" t="s">
        <v>23</v>
      </c>
      <c r="G236" s="25" t="s">
        <v>81</v>
      </c>
      <c r="H236" s="25" t="s">
        <v>159</v>
      </c>
      <c r="I236" s="25" t="s">
        <v>159</v>
      </c>
      <c r="J236" s="25">
        <v>44788</v>
      </c>
      <c r="K236" s="25" t="s">
        <v>179</v>
      </c>
      <c r="L236" s="25">
        <v>44789</v>
      </c>
      <c r="M236" s="25">
        <v>2022</v>
      </c>
      <c r="N236" s="25">
        <v>3</v>
      </c>
      <c r="O236" s="25">
        <v>44806</v>
      </c>
      <c r="P236" s="25">
        <v>2022</v>
      </c>
      <c r="Q236" s="25">
        <v>3</v>
      </c>
      <c r="R236" s="25">
        <v>2</v>
      </c>
      <c r="S236" s="25">
        <v>12</v>
      </c>
      <c r="T236" s="25">
        <v>12</v>
      </c>
      <c r="U236" s="25">
        <v>1</v>
      </c>
      <c r="V236" s="25" t="s">
        <v>773</v>
      </c>
      <c r="W236" s="25" t="s">
        <v>261</v>
      </c>
      <c r="X236" s="25">
        <v>0.25</v>
      </c>
    </row>
    <row r="237" spans="1:24">
      <c r="A237" s="25" t="s">
        <v>180</v>
      </c>
      <c r="B237" s="25" t="s">
        <v>181</v>
      </c>
      <c r="C237" s="25" t="s">
        <v>20</v>
      </c>
      <c r="D237" s="25" t="s">
        <v>21</v>
      </c>
      <c r="E237" s="25" t="s">
        <v>268</v>
      </c>
      <c r="F237" s="25" t="s">
        <v>23</v>
      </c>
      <c r="G237" s="25" t="s">
        <v>50</v>
      </c>
      <c r="H237" s="25" t="s">
        <v>173</v>
      </c>
      <c r="I237" s="25" t="s">
        <v>173</v>
      </c>
      <c r="J237" s="25">
        <v>44788</v>
      </c>
      <c r="K237" s="25" t="s">
        <v>182</v>
      </c>
      <c r="L237" s="25">
        <v>44798</v>
      </c>
      <c r="M237" s="25">
        <v>2022</v>
      </c>
      <c r="N237" s="25">
        <v>12</v>
      </c>
      <c r="O237" s="25">
        <v>44816</v>
      </c>
      <c r="P237" s="25">
        <v>2022</v>
      </c>
      <c r="Q237" s="25">
        <v>12</v>
      </c>
      <c r="R237" s="25">
        <v>12</v>
      </c>
      <c r="S237" s="25">
        <v>4</v>
      </c>
      <c r="T237" s="25">
        <v>11</v>
      </c>
      <c r="U237" s="25">
        <v>1</v>
      </c>
      <c r="V237" s="25" t="s">
        <v>773</v>
      </c>
      <c r="W237" s="25" t="s">
        <v>263</v>
      </c>
      <c r="X237" s="25">
        <v>1.0909090909090908</v>
      </c>
    </row>
    <row r="238" spans="1:24">
      <c r="A238" s="25" t="s">
        <v>183</v>
      </c>
      <c r="B238" s="25" t="s">
        <v>184</v>
      </c>
      <c r="C238" s="25" t="s">
        <v>20</v>
      </c>
      <c r="D238" s="25" t="s">
        <v>21</v>
      </c>
      <c r="E238" s="25" t="s">
        <v>268</v>
      </c>
      <c r="F238" s="25" t="s">
        <v>23</v>
      </c>
      <c r="G238" s="25" t="s">
        <v>81</v>
      </c>
      <c r="H238" s="25" t="s">
        <v>65</v>
      </c>
      <c r="I238" s="25" t="s">
        <v>65</v>
      </c>
      <c r="J238" s="25">
        <v>44792</v>
      </c>
      <c r="K238" s="25" t="s">
        <v>185</v>
      </c>
      <c r="L238" s="25">
        <v>44792</v>
      </c>
      <c r="M238" s="25">
        <v>2022</v>
      </c>
      <c r="N238" s="25">
        <v>7</v>
      </c>
      <c r="O238" s="25">
        <v>44810</v>
      </c>
      <c r="P238" s="25">
        <v>2022</v>
      </c>
      <c r="Q238" s="25">
        <v>7</v>
      </c>
      <c r="R238" s="25">
        <v>1</v>
      </c>
      <c r="S238" s="25">
        <v>8</v>
      </c>
      <c r="T238" s="25">
        <v>11</v>
      </c>
      <c r="U238" s="25">
        <v>1</v>
      </c>
      <c r="V238" s="25" t="s">
        <v>773</v>
      </c>
      <c r="W238" s="25" t="s">
        <v>263</v>
      </c>
      <c r="X238" s="25">
        <v>0.63636363636363635</v>
      </c>
    </row>
    <row r="239" spans="1:24">
      <c r="A239" s="25" t="s">
        <v>186</v>
      </c>
      <c r="B239" s="25" t="s">
        <v>146</v>
      </c>
      <c r="C239" s="25" t="s">
        <v>20</v>
      </c>
      <c r="D239" s="25" t="s">
        <v>21</v>
      </c>
      <c r="E239" s="25" t="s">
        <v>268</v>
      </c>
      <c r="F239" s="25" t="s">
        <v>23</v>
      </c>
      <c r="G239" s="25" t="s">
        <v>24</v>
      </c>
      <c r="H239" s="25" t="s">
        <v>147</v>
      </c>
      <c r="I239" s="25" t="s">
        <v>148</v>
      </c>
      <c r="J239" s="25">
        <v>44792</v>
      </c>
      <c r="K239" s="25" t="s">
        <v>187</v>
      </c>
      <c r="L239" s="25">
        <v>44795</v>
      </c>
      <c r="M239" s="25">
        <v>2022</v>
      </c>
      <c r="N239" s="25">
        <v>19</v>
      </c>
      <c r="O239" s="25">
        <v>44830</v>
      </c>
      <c r="P239" s="25">
        <v>2022</v>
      </c>
      <c r="Q239" s="25">
        <v>19</v>
      </c>
      <c r="R239" s="25">
        <v>5</v>
      </c>
      <c r="S239" s="25">
        <v>14</v>
      </c>
      <c r="T239" s="25">
        <v>24</v>
      </c>
      <c r="U239" s="25">
        <v>1</v>
      </c>
      <c r="V239" s="25" t="s">
        <v>773</v>
      </c>
      <c r="W239" s="25" t="s">
        <v>260</v>
      </c>
      <c r="X239" s="25">
        <v>0.79166666666666663</v>
      </c>
    </row>
    <row r="240" spans="1:24">
      <c r="A240" s="25" t="s">
        <v>188</v>
      </c>
      <c r="B240" s="25" t="s">
        <v>189</v>
      </c>
      <c r="C240" s="25" t="s">
        <v>20</v>
      </c>
      <c r="D240" s="25" t="s">
        <v>21</v>
      </c>
      <c r="E240" s="25" t="s">
        <v>268</v>
      </c>
      <c r="F240" s="25" t="s">
        <v>23</v>
      </c>
      <c r="G240" s="25" t="s">
        <v>81</v>
      </c>
      <c r="H240" s="25" t="s">
        <v>173</v>
      </c>
      <c r="I240" s="25" t="s">
        <v>173</v>
      </c>
      <c r="J240" s="25">
        <v>44806</v>
      </c>
      <c r="K240" s="25" t="s">
        <v>190</v>
      </c>
      <c r="L240" s="25">
        <v>44806</v>
      </c>
      <c r="M240" s="25">
        <v>2022</v>
      </c>
      <c r="N240" s="25">
        <v>5</v>
      </c>
      <c r="O240" s="25">
        <v>44846</v>
      </c>
      <c r="P240" s="25">
        <v>2022</v>
      </c>
      <c r="Q240" s="25">
        <v>5</v>
      </c>
      <c r="R240" s="25">
        <v>1</v>
      </c>
      <c r="S240" s="25">
        <v>28</v>
      </c>
      <c r="T240" s="25">
        <v>28</v>
      </c>
      <c r="U240" s="25">
        <v>1</v>
      </c>
      <c r="V240" s="25" t="s">
        <v>773</v>
      </c>
      <c r="W240" s="25" t="s">
        <v>263</v>
      </c>
      <c r="X240" s="25">
        <v>0.17857142857142858</v>
      </c>
    </row>
    <row r="241" spans="1:24">
      <c r="A241" s="25" t="s">
        <v>191</v>
      </c>
      <c r="B241" s="25" t="s">
        <v>192</v>
      </c>
      <c r="C241" s="25" t="s">
        <v>20</v>
      </c>
      <c r="D241" s="25" t="s">
        <v>21</v>
      </c>
      <c r="E241" s="25" t="s">
        <v>268</v>
      </c>
      <c r="F241" s="25" t="s">
        <v>23</v>
      </c>
      <c r="G241" s="25" t="s">
        <v>81</v>
      </c>
      <c r="H241" s="25" t="s">
        <v>173</v>
      </c>
      <c r="I241" s="25" t="s">
        <v>173</v>
      </c>
      <c r="J241" s="25">
        <v>44804</v>
      </c>
      <c r="K241" s="25" t="s">
        <v>193</v>
      </c>
      <c r="L241" s="25">
        <v>44806</v>
      </c>
      <c r="M241" s="25">
        <v>2022</v>
      </c>
      <c r="N241" s="25">
        <v>7</v>
      </c>
      <c r="O241" s="25">
        <v>44834</v>
      </c>
      <c r="P241" s="25">
        <v>2022</v>
      </c>
      <c r="Q241" s="25">
        <v>7</v>
      </c>
      <c r="R241" s="25">
        <v>1</v>
      </c>
      <c r="S241" s="25">
        <v>17</v>
      </c>
      <c r="T241" s="25">
        <v>21</v>
      </c>
      <c r="U241" s="25">
        <v>1</v>
      </c>
      <c r="V241" s="25" t="s">
        <v>773</v>
      </c>
      <c r="W241" s="25" t="s">
        <v>263</v>
      </c>
      <c r="X241" s="25">
        <v>0.33333333333333331</v>
      </c>
    </row>
    <row r="242" spans="1:24">
      <c r="A242" s="25" t="s">
        <v>774</v>
      </c>
      <c r="B242" s="25" t="s">
        <v>775</v>
      </c>
      <c r="C242" s="25" t="s">
        <v>20</v>
      </c>
      <c r="D242" s="25" t="s">
        <v>21</v>
      </c>
      <c r="E242" s="25" t="s">
        <v>268</v>
      </c>
      <c r="F242" s="25" t="s">
        <v>23</v>
      </c>
      <c r="G242" s="25" t="s">
        <v>269</v>
      </c>
      <c r="H242" s="25" t="s">
        <v>152</v>
      </c>
      <c r="I242" s="25" t="s">
        <v>152</v>
      </c>
      <c r="J242" s="25">
        <v>44811</v>
      </c>
      <c r="K242" s="25" t="s">
        <v>776</v>
      </c>
      <c r="L242" s="25">
        <v>44811</v>
      </c>
      <c r="M242" s="25">
        <v>2022</v>
      </c>
      <c r="N242" s="25">
        <v>63</v>
      </c>
      <c r="O242" s="25">
        <v>44834</v>
      </c>
      <c r="P242" s="25">
        <v>2022</v>
      </c>
      <c r="Q242" s="25">
        <v>63</v>
      </c>
      <c r="R242" s="25">
        <v>40</v>
      </c>
      <c r="S242" s="25">
        <v>3</v>
      </c>
      <c r="T242" s="25">
        <v>18</v>
      </c>
      <c r="U242" s="25">
        <v>1</v>
      </c>
      <c r="V242" s="25" t="s">
        <v>773</v>
      </c>
      <c r="W242" s="25" t="s">
        <v>260</v>
      </c>
      <c r="X242" s="25">
        <v>3.5</v>
      </c>
    </row>
    <row r="243" spans="1:24">
      <c r="A243" s="25" t="s">
        <v>194</v>
      </c>
      <c r="B243" s="25" t="s">
        <v>195</v>
      </c>
      <c r="C243" s="25" t="s">
        <v>20</v>
      </c>
      <c r="D243" s="25" t="s">
        <v>21</v>
      </c>
      <c r="E243" s="25" t="s">
        <v>268</v>
      </c>
      <c r="F243" s="25" t="s">
        <v>23</v>
      </c>
      <c r="G243" s="25" t="s">
        <v>50</v>
      </c>
      <c r="H243" s="25" t="s">
        <v>196</v>
      </c>
      <c r="I243" s="25" t="s">
        <v>197</v>
      </c>
      <c r="J243" s="25">
        <v>44830</v>
      </c>
      <c r="K243" s="25" t="s">
        <v>198</v>
      </c>
      <c r="L243" s="25">
        <v>44831</v>
      </c>
      <c r="M243" s="25">
        <v>2022</v>
      </c>
      <c r="N243" s="25">
        <v>30</v>
      </c>
      <c r="O243" s="25">
        <v>44883</v>
      </c>
      <c r="P243" s="25">
        <v>2022</v>
      </c>
      <c r="Q243" s="25">
        <v>30</v>
      </c>
      <c r="R243" s="25">
        <v>2</v>
      </c>
      <c r="S243" s="25">
        <v>10</v>
      </c>
      <c r="T243" s="25">
        <v>36</v>
      </c>
      <c r="U243" s="25">
        <v>1</v>
      </c>
      <c r="V243" s="25" t="s">
        <v>773</v>
      </c>
      <c r="W243" s="25" t="s">
        <v>262</v>
      </c>
      <c r="X243" s="25">
        <v>0.83333333333333337</v>
      </c>
    </row>
    <row r="244" spans="1:24">
      <c r="A244" s="25" t="s">
        <v>199</v>
      </c>
      <c r="B244" s="25" t="s">
        <v>77</v>
      </c>
      <c r="C244" s="25" t="s">
        <v>20</v>
      </c>
      <c r="D244" s="25" t="s">
        <v>21</v>
      </c>
      <c r="E244" s="25" t="s">
        <v>268</v>
      </c>
      <c r="F244" s="25" t="s">
        <v>23</v>
      </c>
      <c r="G244" s="25" t="s">
        <v>24</v>
      </c>
      <c r="H244" s="25" t="s">
        <v>30</v>
      </c>
      <c r="I244" s="25" t="s">
        <v>30</v>
      </c>
      <c r="J244" s="25">
        <v>44757</v>
      </c>
      <c r="K244" s="25" t="s">
        <v>200</v>
      </c>
      <c r="L244" s="25">
        <v>44760</v>
      </c>
      <c r="M244" s="25">
        <v>2022</v>
      </c>
      <c r="N244" s="25">
        <v>12</v>
      </c>
      <c r="O244" s="25">
        <v>44776</v>
      </c>
      <c r="P244" s="25">
        <v>2022</v>
      </c>
      <c r="Q244" s="25">
        <v>12</v>
      </c>
      <c r="R244" s="25">
        <v>1</v>
      </c>
      <c r="S244" s="25">
        <v>0</v>
      </c>
      <c r="T244" s="25">
        <v>11</v>
      </c>
      <c r="U244" s="25">
        <v>1</v>
      </c>
      <c r="V244" s="25" t="s">
        <v>773</v>
      </c>
      <c r="W244" s="25" t="s">
        <v>262</v>
      </c>
      <c r="X244" s="25">
        <v>1.0909090909090908</v>
      </c>
    </row>
    <row r="245" spans="1:24">
      <c r="A245" s="25" t="s">
        <v>777</v>
      </c>
      <c r="B245" s="25" t="s">
        <v>778</v>
      </c>
      <c r="C245" s="25" t="s">
        <v>20</v>
      </c>
      <c r="D245" s="25" t="s">
        <v>21</v>
      </c>
      <c r="E245" s="25" t="s">
        <v>268</v>
      </c>
      <c r="F245" s="25" t="s">
        <v>23</v>
      </c>
      <c r="G245" s="25" t="s">
        <v>269</v>
      </c>
      <c r="H245" s="25" t="s">
        <v>30</v>
      </c>
      <c r="I245" s="25" t="s">
        <v>30</v>
      </c>
      <c r="J245" s="25">
        <v>44791</v>
      </c>
      <c r="K245" s="25" t="s">
        <v>779</v>
      </c>
      <c r="L245" s="25">
        <v>44792</v>
      </c>
      <c r="M245" s="25">
        <v>2022</v>
      </c>
      <c r="N245" s="25">
        <v>134</v>
      </c>
      <c r="O245" s="25">
        <v>44853</v>
      </c>
      <c r="P245" s="25">
        <v>2022</v>
      </c>
      <c r="Q245" s="25">
        <v>134</v>
      </c>
      <c r="R245" s="25">
        <v>63</v>
      </c>
      <c r="S245" s="25">
        <v>41</v>
      </c>
      <c r="T245" s="25">
        <v>41</v>
      </c>
      <c r="U245" s="25">
        <v>1</v>
      </c>
      <c r="V245" s="25" t="s">
        <v>773</v>
      </c>
      <c r="W245" s="25" t="s">
        <v>262</v>
      </c>
      <c r="X245" s="25">
        <v>3.2682926829268291</v>
      </c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B3"/>
  <sheetViews>
    <sheetView showGridLines="0" workbookViewId="0"/>
  </sheetViews>
  <sheetFormatPr defaultColWidth="12.5703125" defaultRowHeight="15.75" customHeight="1"/>
  <cols>
    <col min="1" max="1" width="24.42578125" customWidth="1"/>
  </cols>
  <sheetData>
    <row r="1" spans="1:2">
      <c r="A1" s="25" t="s">
        <v>780</v>
      </c>
      <c r="B1" s="25" t="s">
        <v>227</v>
      </c>
    </row>
    <row r="2" spans="1:2">
      <c r="A2" s="25" t="s">
        <v>7</v>
      </c>
      <c r="B2" s="25" t="s">
        <v>781</v>
      </c>
    </row>
    <row r="3" spans="1:2">
      <c r="A3" s="25" t="s">
        <v>781</v>
      </c>
      <c r="B3" s="2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V1000"/>
  <sheetViews>
    <sheetView workbookViewId="0">
      <pane ySplit="2" topLeftCell="A3" activePane="bottomLeft" state="frozen"/>
      <selection pane="bottomLeft" activeCell="B4" sqref="B4"/>
    </sheetView>
  </sheetViews>
  <sheetFormatPr defaultColWidth="12.5703125" defaultRowHeight="15.75" customHeight="1"/>
  <cols>
    <col min="1" max="1" width="17.42578125" customWidth="1"/>
    <col min="2" max="2" width="33.5703125" customWidth="1"/>
    <col min="4" max="4" width="17.5703125" customWidth="1"/>
    <col min="6" max="6" width="16.28515625" customWidth="1"/>
    <col min="7" max="7" width="19.5703125" customWidth="1"/>
    <col min="8" max="8" width="16.28515625" customWidth="1"/>
    <col min="11" max="11" width="28.7109375" customWidth="1"/>
    <col min="15" max="15" width="16.85546875" customWidth="1"/>
    <col min="18" max="19" width="16.140625" customWidth="1"/>
  </cols>
  <sheetData>
    <row r="1" spans="1:22">
      <c r="A1" s="54" t="s">
        <v>782</v>
      </c>
      <c r="B1" s="66"/>
      <c r="C1" s="66"/>
      <c r="D1" s="47"/>
      <c r="E1" s="47"/>
      <c r="F1" s="55" t="s">
        <v>783</v>
      </c>
      <c r="G1" s="66"/>
      <c r="H1" s="66"/>
      <c r="I1" s="66"/>
      <c r="J1" s="56"/>
      <c r="K1" s="66"/>
      <c r="L1" s="66"/>
      <c r="M1" s="66"/>
      <c r="N1" s="66"/>
      <c r="O1" s="57"/>
      <c r="P1" s="66"/>
      <c r="Q1" s="66"/>
      <c r="R1" s="66"/>
      <c r="S1" s="66"/>
      <c r="T1" s="66"/>
      <c r="U1" s="67"/>
      <c r="V1" s="17"/>
    </row>
    <row r="2" spans="1:22">
      <c r="A2" s="1" t="s">
        <v>784</v>
      </c>
      <c r="B2" s="1" t="s">
        <v>785</v>
      </c>
      <c r="C2" s="1" t="s">
        <v>2</v>
      </c>
      <c r="D2" s="2" t="s">
        <v>3</v>
      </c>
      <c r="E2" s="2" t="s">
        <v>226</v>
      </c>
      <c r="F2" s="3" t="s">
        <v>5</v>
      </c>
      <c r="G2" s="4" t="s">
        <v>6</v>
      </c>
      <c r="H2" s="3" t="s">
        <v>7</v>
      </c>
      <c r="I2" s="3" t="s">
        <v>8</v>
      </c>
      <c r="J2" s="5" t="s">
        <v>228</v>
      </c>
      <c r="K2" s="5" t="s">
        <v>9</v>
      </c>
      <c r="L2" s="5" t="s">
        <v>229</v>
      </c>
      <c r="M2" s="6" t="s">
        <v>11</v>
      </c>
      <c r="N2" s="6" t="s">
        <v>786</v>
      </c>
      <c r="O2" s="16" t="s">
        <v>13</v>
      </c>
      <c r="P2" s="17" t="s">
        <v>14</v>
      </c>
      <c r="Q2" s="17" t="s">
        <v>787</v>
      </c>
      <c r="R2" s="17" t="s">
        <v>788</v>
      </c>
      <c r="S2" s="16" t="s">
        <v>234</v>
      </c>
      <c r="T2" s="17" t="s">
        <v>235</v>
      </c>
      <c r="U2" s="17" t="s">
        <v>236</v>
      </c>
      <c r="V2" s="17" t="s">
        <v>237</v>
      </c>
    </row>
    <row r="3" spans="1:22">
      <c r="A3" s="48" t="str">
        <f ca="1">IFERROR(__xludf.DUMMYFUNCTION("QUERY(IMPORTRANGE(""1jdrbIckE3jFfUzo3gJsaugvmjDUGyc95Jz798xWnO_M"",""'1) Investigaciones'!A3:CX""),""SELECT Col1, Col2, Col9, Col10, Col8, Col4, Col60, Col57, Col11, Col20, Col21, Col22, Col53, Col23, Col41, Col55, Col42, Col43, Col74 WHERE Col8 = 'CONCLU"&amp;"IDO' AND Col20 &gt;= date '2022-07-08' AND Col20 &lt;= date '2023-01-01' AND Col41 IS NOT NULL AND Col42 &gt; 0 AND Col1 &lt;&gt; '25-2022/INV-SRB' AND Col1 &lt;&gt; '39-2022/INV-SRB' AND Col1 &lt;&gt; '130-2022/INV-SRB'"",0)"),"#N/A")</f>
        <v>#N/A</v>
      </c>
      <c r="B3" s="48"/>
      <c r="C3" s="48"/>
      <c r="D3" s="48"/>
      <c r="E3" s="48"/>
      <c r="F3" s="48"/>
      <c r="G3" s="48"/>
      <c r="H3" s="48"/>
      <c r="I3" s="48"/>
      <c r="J3" s="49"/>
      <c r="K3" s="48"/>
      <c r="L3" s="49"/>
      <c r="M3" s="48"/>
      <c r="N3" s="48"/>
      <c r="O3" s="49"/>
      <c r="P3" s="48"/>
      <c r="Q3" s="48"/>
      <c r="R3" s="48"/>
      <c r="S3" s="48"/>
      <c r="T3" s="50">
        <f t="shared" ref="T3:T66" ca="1" si="0">IF(A3="", "",IF(L3&gt;O3,"",NETWORKDAYS.INTL(L3,O3,1,FERIADOS)))</f>
        <v>0</v>
      </c>
      <c r="U3" s="50">
        <v>1</v>
      </c>
      <c r="V3" s="22" t="str">
        <f t="shared" ref="V3:V257" ca="1" si="1">IF(A3="","","TIPO 2")</f>
        <v>TIPO 2</v>
      </c>
    </row>
    <row r="4" spans="1:22">
      <c r="A4" s="48"/>
      <c r="B4" s="48"/>
      <c r="C4" s="48"/>
      <c r="D4" s="48"/>
      <c r="E4" s="48"/>
      <c r="F4" s="48"/>
      <c r="G4" s="48"/>
      <c r="H4" s="48"/>
      <c r="I4" s="48"/>
      <c r="J4" s="49"/>
      <c r="K4" s="48"/>
      <c r="L4" s="49"/>
      <c r="M4" s="48"/>
      <c r="N4" s="48"/>
      <c r="O4" s="49"/>
      <c r="P4" s="48"/>
      <c r="Q4" s="48"/>
      <c r="R4" s="48"/>
      <c r="S4" s="48"/>
      <c r="T4" s="50" t="str">
        <f t="shared" si="0"/>
        <v/>
      </c>
      <c r="U4" s="50">
        <v>1</v>
      </c>
      <c r="V4" s="22" t="str">
        <f t="shared" si="1"/>
        <v/>
      </c>
    </row>
    <row r="5" spans="1:22">
      <c r="A5" s="48"/>
      <c r="B5" s="48"/>
      <c r="C5" s="48"/>
      <c r="D5" s="48"/>
      <c r="E5" s="48"/>
      <c r="F5" s="48"/>
      <c r="G5" s="48"/>
      <c r="H5" s="48"/>
      <c r="I5" s="48"/>
      <c r="J5" s="49"/>
      <c r="K5" s="48"/>
      <c r="L5" s="49"/>
      <c r="M5" s="48"/>
      <c r="N5" s="48"/>
      <c r="O5" s="49"/>
      <c r="P5" s="48"/>
      <c r="Q5" s="48"/>
      <c r="R5" s="48"/>
      <c r="S5" s="48"/>
      <c r="T5" s="50" t="str">
        <f t="shared" si="0"/>
        <v/>
      </c>
      <c r="U5" s="50">
        <v>1</v>
      </c>
      <c r="V5" s="22" t="str">
        <f t="shared" si="1"/>
        <v/>
      </c>
    </row>
    <row r="6" spans="1:22">
      <c r="A6" s="48"/>
      <c r="B6" s="48"/>
      <c r="C6" s="48"/>
      <c r="D6" s="48"/>
      <c r="E6" s="48"/>
      <c r="F6" s="48"/>
      <c r="G6" s="48"/>
      <c r="H6" s="48"/>
      <c r="I6" s="48"/>
      <c r="J6" s="49"/>
      <c r="K6" s="48"/>
      <c r="L6" s="49"/>
      <c r="M6" s="48"/>
      <c r="N6" s="48"/>
      <c r="O6" s="51"/>
      <c r="P6" s="48"/>
      <c r="Q6" s="48"/>
      <c r="R6" s="48"/>
      <c r="S6" s="48"/>
      <c r="T6" s="50" t="str">
        <f t="shared" si="0"/>
        <v/>
      </c>
      <c r="U6" s="50">
        <v>1</v>
      </c>
      <c r="V6" s="22" t="str">
        <f t="shared" si="1"/>
        <v/>
      </c>
    </row>
    <row r="7" spans="1:22">
      <c r="A7" s="48"/>
      <c r="B7" s="48"/>
      <c r="C7" s="48"/>
      <c r="D7" s="48"/>
      <c r="E7" s="48"/>
      <c r="F7" s="48"/>
      <c r="G7" s="48"/>
      <c r="H7" s="48"/>
      <c r="I7" s="48"/>
      <c r="J7" s="49"/>
      <c r="K7" s="48"/>
      <c r="L7" s="49"/>
      <c r="M7" s="48"/>
      <c r="N7" s="48"/>
      <c r="O7" s="51"/>
      <c r="P7" s="48"/>
      <c r="Q7" s="48"/>
      <c r="R7" s="48"/>
      <c r="S7" s="48"/>
      <c r="T7" s="50" t="str">
        <f t="shared" si="0"/>
        <v/>
      </c>
      <c r="U7" s="50">
        <v>1</v>
      </c>
      <c r="V7" s="22" t="str">
        <f t="shared" si="1"/>
        <v/>
      </c>
    </row>
    <row r="8" spans="1:22">
      <c r="A8" s="48"/>
      <c r="B8" s="48"/>
      <c r="C8" s="48"/>
      <c r="D8" s="48"/>
      <c r="E8" s="48"/>
      <c r="F8" s="48"/>
      <c r="G8" s="48"/>
      <c r="H8" s="48"/>
      <c r="I8" s="48"/>
      <c r="J8" s="49"/>
      <c r="K8" s="48"/>
      <c r="L8" s="49"/>
      <c r="M8" s="48"/>
      <c r="N8" s="48"/>
      <c r="O8" s="49"/>
      <c r="P8" s="48"/>
      <c r="Q8" s="48"/>
      <c r="R8" s="48"/>
      <c r="S8" s="48"/>
      <c r="T8" s="50" t="str">
        <f t="shared" si="0"/>
        <v/>
      </c>
      <c r="U8" s="50">
        <v>1</v>
      </c>
      <c r="V8" s="22" t="str">
        <f t="shared" si="1"/>
        <v/>
      </c>
    </row>
    <row r="9" spans="1:22">
      <c r="A9" s="48"/>
      <c r="B9" s="48"/>
      <c r="C9" s="48"/>
      <c r="D9" s="48"/>
      <c r="E9" s="48"/>
      <c r="F9" s="48"/>
      <c r="G9" s="48"/>
      <c r="H9" s="48"/>
      <c r="I9" s="48"/>
      <c r="J9" s="49"/>
      <c r="K9" s="48"/>
      <c r="L9" s="49"/>
      <c r="M9" s="48"/>
      <c r="N9" s="48"/>
      <c r="O9" s="49"/>
      <c r="P9" s="48"/>
      <c r="Q9" s="48"/>
      <c r="R9" s="48"/>
      <c r="S9" s="48"/>
      <c r="T9" s="50" t="str">
        <f t="shared" si="0"/>
        <v/>
      </c>
      <c r="U9" s="50">
        <v>1</v>
      </c>
      <c r="V9" s="22" t="str">
        <f t="shared" si="1"/>
        <v/>
      </c>
    </row>
    <row r="10" spans="1:22">
      <c r="A10" s="48"/>
      <c r="B10" s="48"/>
      <c r="C10" s="48"/>
      <c r="D10" s="48"/>
      <c r="E10" s="48"/>
      <c r="F10" s="48"/>
      <c r="G10" s="48"/>
      <c r="H10" s="48"/>
      <c r="I10" s="48"/>
      <c r="J10" s="49"/>
      <c r="K10" s="48"/>
      <c r="L10" s="49"/>
      <c r="M10" s="48"/>
      <c r="N10" s="48"/>
      <c r="O10" s="49"/>
      <c r="P10" s="48"/>
      <c r="Q10" s="48"/>
      <c r="R10" s="48"/>
      <c r="S10" s="48"/>
      <c r="T10" s="50" t="str">
        <f t="shared" si="0"/>
        <v/>
      </c>
      <c r="U10" s="50">
        <v>1</v>
      </c>
      <c r="V10" s="22" t="str">
        <f t="shared" si="1"/>
        <v/>
      </c>
    </row>
    <row r="11" spans="1:22">
      <c r="A11" s="48"/>
      <c r="B11" s="48"/>
      <c r="C11" s="48"/>
      <c r="D11" s="48"/>
      <c r="E11" s="48"/>
      <c r="F11" s="48"/>
      <c r="G11" s="48"/>
      <c r="H11" s="48"/>
      <c r="I11" s="48"/>
      <c r="J11" s="49"/>
      <c r="K11" s="48"/>
      <c r="L11" s="49"/>
      <c r="M11" s="48"/>
      <c r="N11" s="48"/>
      <c r="O11" s="49"/>
      <c r="P11" s="48"/>
      <c r="Q11" s="48"/>
      <c r="R11" s="48"/>
      <c r="S11" s="48"/>
      <c r="T11" s="50" t="str">
        <f t="shared" si="0"/>
        <v/>
      </c>
      <c r="U11" s="50">
        <v>1</v>
      </c>
      <c r="V11" s="22" t="str">
        <f t="shared" si="1"/>
        <v/>
      </c>
    </row>
    <row r="12" spans="1:22">
      <c r="A12" s="48"/>
      <c r="B12" s="48"/>
      <c r="C12" s="48"/>
      <c r="D12" s="48"/>
      <c r="E12" s="48"/>
      <c r="F12" s="48"/>
      <c r="G12" s="48"/>
      <c r="H12" s="48"/>
      <c r="I12" s="48"/>
      <c r="J12" s="49"/>
      <c r="K12" s="48"/>
      <c r="L12" s="49"/>
      <c r="M12" s="48"/>
      <c r="N12" s="48"/>
      <c r="O12" s="49"/>
      <c r="P12" s="48"/>
      <c r="Q12" s="48"/>
      <c r="R12" s="48"/>
      <c r="S12" s="48"/>
      <c r="T12" s="50" t="str">
        <f t="shared" si="0"/>
        <v/>
      </c>
      <c r="U12" s="50">
        <v>1</v>
      </c>
      <c r="V12" s="22" t="str">
        <f t="shared" si="1"/>
        <v/>
      </c>
    </row>
    <row r="13" spans="1:22">
      <c r="A13" s="48"/>
      <c r="B13" s="48"/>
      <c r="C13" s="48"/>
      <c r="D13" s="48"/>
      <c r="E13" s="48"/>
      <c r="F13" s="48"/>
      <c r="G13" s="48"/>
      <c r="H13" s="48"/>
      <c r="I13" s="48"/>
      <c r="J13" s="49"/>
      <c r="K13" s="48"/>
      <c r="L13" s="49"/>
      <c r="M13" s="48"/>
      <c r="N13" s="48"/>
      <c r="O13" s="49"/>
      <c r="P13" s="48"/>
      <c r="Q13" s="48"/>
      <c r="R13" s="48"/>
      <c r="S13" s="48"/>
      <c r="T13" s="50" t="str">
        <f t="shared" si="0"/>
        <v/>
      </c>
      <c r="U13" s="50">
        <v>1</v>
      </c>
      <c r="V13" s="22" t="str">
        <f t="shared" si="1"/>
        <v/>
      </c>
    </row>
    <row r="14" spans="1:22">
      <c r="A14" s="48"/>
      <c r="B14" s="48"/>
      <c r="C14" s="48"/>
      <c r="D14" s="48"/>
      <c r="E14" s="48"/>
      <c r="F14" s="48"/>
      <c r="G14" s="48"/>
      <c r="H14" s="48"/>
      <c r="I14" s="48"/>
      <c r="J14" s="49"/>
      <c r="K14" s="48"/>
      <c r="L14" s="49"/>
      <c r="M14" s="48"/>
      <c r="N14" s="48"/>
      <c r="O14" s="49"/>
      <c r="P14" s="48"/>
      <c r="Q14" s="48"/>
      <c r="R14" s="48"/>
      <c r="S14" s="48"/>
      <c r="T14" s="50" t="str">
        <f t="shared" si="0"/>
        <v/>
      </c>
      <c r="U14" s="50">
        <v>1</v>
      </c>
      <c r="V14" s="22" t="str">
        <f t="shared" si="1"/>
        <v/>
      </c>
    </row>
    <row r="15" spans="1:22">
      <c r="A15" s="48"/>
      <c r="B15" s="48"/>
      <c r="C15" s="48"/>
      <c r="D15" s="48"/>
      <c r="E15" s="48"/>
      <c r="F15" s="48"/>
      <c r="G15" s="48"/>
      <c r="H15" s="48"/>
      <c r="I15" s="48"/>
      <c r="J15" s="49"/>
      <c r="K15" s="48"/>
      <c r="L15" s="49"/>
      <c r="M15" s="48"/>
      <c r="N15" s="48"/>
      <c r="O15" s="49"/>
      <c r="P15" s="48"/>
      <c r="Q15" s="48"/>
      <c r="R15" s="48"/>
      <c r="S15" s="48"/>
      <c r="T15" s="50" t="str">
        <f t="shared" si="0"/>
        <v/>
      </c>
      <c r="U15" s="50">
        <v>1</v>
      </c>
      <c r="V15" s="22" t="str">
        <f t="shared" si="1"/>
        <v/>
      </c>
    </row>
    <row r="16" spans="1:22">
      <c r="A16" s="48"/>
      <c r="B16" s="48"/>
      <c r="C16" s="48"/>
      <c r="D16" s="48"/>
      <c r="E16" s="48"/>
      <c r="F16" s="48"/>
      <c r="G16" s="48"/>
      <c r="H16" s="48"/>
      <c r="I16" s="48"/>
      <c r="J16" s="49"/>
      <c r="K16" s="48"/>
      <c r="L16" s="49"/>
      <c r="M16" s="48"/>
      <c r="N16" s="48"/>
      <c r="O16" s="49"/>
      <c r="P16" s="48"/>
      <c r="Q16" s="48"/>
      <c r="R16" s="48"/>
      <c r="S16" s="48"/>
      <c r="T16" s="50" t="str">
        <f t="shared" si="0"/>
        <v/>
      </c>
      <c r="U16" s="50">
        <v>1</v>
      </c>
      <c r="V16" s="22" t="str">
        <f t="shared" si="1"/>
        <v/>
      </c>
    </row>
    <row r="17" spans="1:22">
      <c r="A17" s="48"/>
      <c r="B17" s="48"/>
      <c r="C17" s="48"/>
      <c r="D17" s="48"/>
      <c r="E17" s="48"/>
      <c r="F17" s="48"/>
      <c r="G17" s="48"/>
      <c r="H17" s="48"/>
      <c r="I17" s="48"/>
      <c r="J17" s="49"/>
      <c r="K17" s="48"/>
      <c r="L17" s="49"/>
      <c r="M17" s="48"/>
      <c r="N17" s="48"/>
      <c r="O17" s="49"/>
      <c r="P17" s="48"/>
      <c r="Q17" s="48"/>
      <c r="R17" s="48"/>
      <c r="S17" s="48"/>
      <c r="T17" s="50" t="str">
        <f t="shared" si="0"/>
        <v/>
      </c>
      <c r="U17" s="50">
        <v>1</v>
      </c>
      <c r="V17" s="22" t="str">
        <f t="shared" si="1"/>
        <v/>
      </c>
    </row>
    <row r="18" spans="1:22">
      <c r="A18" s="48"/>
      <c r="B18" s="48"/>
      <c r="C18" s="48"/>
      <c r="D18" s="48"/>
      <c r="E18" s="48"/>
      <c r="F18" s="48"/>
      <c r="G18" s="48"/>
      <c r="H18" s="48"/>
      <c r="I18" s="48"/>
      <c r="J18" s="49"/>
      <c r="K18" s="48"/>
      <c r="L18" s="49"/>
      <c r="M18" s="48"/>
      <c r="N18" s="48"/>
      <c r="O18" s="49"/>
      <c r="P18" s="48"/>
      <c r="Q18" s="48"/>
      <c r="R18" s="48"/>
      <c r="S18" s="48"/>
      <c r="T18" s="50" t="str">
        <f t="shared" si="0"/>
        <v/>
      </c>
      <c r="U18" s="50">
        <v>1</v>
      </c>
      <c r="V18" s="22" t="str">
        <f t="shared" si="1"/>
        <v/>
      </c>
    </row>
    <row r="19" spans="1:22">
      <c r="A19" s="48"/>
      <c r="B19" s="48"/>
      <c r="C19" s="48"/>
      <c r="D19" s="48"/>
      <c r="E19" s="48"/>
      <c r="F19" s="48"/>
      <c r="G19" s="48"/>
      <c r="H19" s="48"/>
      <c r="I19" s="48"/>
      <c r="J19" s="49"/>
      <c r="K19" s="48"/>
      <c r="L19" s="49"/>
      <c r="M19" s="48"/>
      <c r="N19" s="48"/>
      <c r="O19" s="49"/>
      <c r="P19" s="48"/>
      <c r="Q19" s="48"/>
      <c r="R19" s="48"/>
      <c r="S19" s="48"/>
      <c r="T19" s="50" t="str">
        <f t="shared" si="0"/>
        <v/>
      </c>
      <c r="U19" s="50">
        <v>1</v>
      </c>
      <c r="V19" s="22" t="str">
        <f t="shared" si="1"/>
        <v/>
      </c>
    </row>
    <row r="20" spans="1:22">
      <c r="A20" s="48"/>
      <c r="B20" s="48"/>
      <c r="C20" s="48"/>
      <c r="D20" s="48"/>
      <c r="E20" s="48"/>
      <c r="F20" s="48"/>
      <c r="G20" s="48"/>
      <c r="H20" s="48"/>
      <c r="I20" s="48"/>
      <c r="J20" s="49"/>
      <c r="K20" s="48"/>
      <c r="L20" s="49"/>
      <c r="M20" s="48"/>
      <c r="N20" s="48"/>
      <c r="O20" s="49"/>
      <c r="P20" s="48"/>
      <c r="Q20" s="48"/>
      <c r="R20" s="48"/>
      <c r="S20" s="48"/>
      <c r="T20" s="50" t="str">
        <f t="shared" si="0"/>
        <v/>
      </c>
      <c r="U20" s="50">
        <v>1</v>
      </c>
      <c r="V20" s="22" t="str">
        <f t="shared" si="1"/>
        <v/>
      </c>
    </row>
    <row r="21" spans="1:22">
      <c r="A21" s="48"/>
      <c r="B21" s="48"/>
      <c r="C21" s="48"/>
      <c r="D21" s="48"/>
      <c r="E21" s="48"/>
      <c r="F21" s="48"/>
      <c r="G21" s="48"/>
      <c r="H21" s="48"/>
      <c r="I21" s="48"/>
      <c r="J21" s="49"/>
      <c r="K21" s="48"/>
      <c r="L21" s="49"/>
      <c r="M21" s="48"/>
      <c r="N21" s="48"/>
      <c r="O21" s="49"/>
      <c r="P21" s="48"/>
      <c r="Q21" s="48"/>
      <c r="R21" s="48"/>
      <c r="S21" s="48"/>
      <c r="T21" s="50" t="str">
        <f t="shared" si="0"/>
        <v/>
      </c>
      <c r="U21" s="50">
        <v>1</v>
      </c>
      <c r="V21" s="22" t="str">
        <f t="shared" si="1"/>
        <v/>
      </c>
    </row>
    <row r="22" spans="1:22">
      <c r="A22" s="48"/>
      <c r="B22" s="48"/>
      <c r="C22" s="48"/>
      <c r="D22" s="48"/>
      <c r="E22" s="48"/>
      <c r="F22" s="48"/>
      <c r="G22" s="48"/>
      <c r="H22" s="48"/>
      <c r="I22" s="48"/>
      <c r="J22" s="49"/>
      <c r="K22" s="48"/>
      <c r="L22" s="49"/>
      <c r="M22" s="48"/>
      <c r="N22" s="48"/>
      <c r="O22" s="49"/>
      <c r="P22" s="48"/>
      <c r="Q22" s="48"/>
      <c r="R22" s="48"/>
      <c r="S22" s="48"/>
      <c r="T22" s="50" t="str">
        <f t="shared" si="0"/>
        <v/>
      </c>
      <c r="U22" s="50">
        <v>1</v>
      </c>
      <c r="V22" s="22" t="str">
        <f t="shared" si="1"/>
        <v/>
      </c>
    </row>
    <row r="23" spans="1:22">
      <c r="A23" s="48"/>
      <c r="B23" s="48"/>
      <c r="C23" s="48"/>
      <c r="D23" s="48"/>
      <c r="E23" s="48"/>
      <c r="F23" s="48"/>
      <c r="G23" s="48"/>
      <c r="H23" s="48"/>
      <c r="I23" s="48"/>
      <c r="J23" s="49"/>
      <c r="K23" s="48"/>
      <c r="L23" s="49"/>
      <c r="M23" s="48"/>
      <c r="N23" s="48"/>
      <c r="O23" s="49"/>
      <c r="P23" s="48"/>
      <c r="Q23" s="48"/>
      <c r="R23" s="48"/>
      <c r="S23" s="48"/>
      <c r="T23" s="50" t="str">
        <f t="shared" si="0"/>
        <v/>
      </c>
      <c r="U23" s="50">
        <v>1</v>
      </c>
      <c r="V23" s="22" t="str">
        <f t="shared" si="1"/>
        <v/>
      </c>
    </row>
    <row r="24" spans="1:22">
      <c r="A24" s="48"/>
      <c r="B24" s="48"/>
      <c r="C24" s="48"/>
      <c r="D24" s="48"/>
      <c r="E24" s="48"/>
      <c r="F24" s="48"/>
      <c r="G24" s="48"/>
      <c r="H24" s="48"/>
      <c r="I24" s="48"/>
      <c r="J24" s="49"/>
      <c r="K24" s="48"/>
      <c r="L24" s="49"/>
      <c r="M24" s="48"/>
      <c r="N24" s="48"/>
      <c r="O24" s="49"/>
      <c r="P24" s="48"/>
      <c r="Q24" s="48"/>
      <c r="R24" s="48"/>
      <c r="S24" s="48"/>
      <c r="T24" s="50" t="str">
        <f t="shared" si="0"/>
        <v/>
      </c>
      <c r="U24" s="50">
        <v>1</v>
      </c>
      <c r="V24" s="22" t="str">
        <f t="shared" si="1"/>
        <v/>
      </c>
    </row>
    <row r="25" spans="1:22">
      <c r="A25" s="48"/>
      <c r="B25" s="48"/>
      <c r="C25" s="48"/>
      <c r="D25" s="48"/>
      <c r="E25" s="48"/>
      <c r="F25" s="48"/>
      <c r="G25" s="48"/>
      <c r="H25" s="48"/>
      <c r="I25" s="48"/>
      <c r="J25" s="49"/>
      <c r="K25" s="48"/>
      <c r="L25" s="49"/>
      <c r="M25" s="48"/>
      <c r="N25" s="48"/>
      <c r="O25" s="49"/>
      <c r="P25" s="48"/>
      <c r="Q25" s="48"/>
      <c r="R25" s="48"/>
      <c r="S25" s="48"/>
      <c r="T25" s="50" t="str">
        <f t="shared" si="0"/>
        <v/>
      </c>
      <c r="U25" s="50">
        <v>1</v>
      </c>
      <c r="V25" s="22" t="str">
        <f t="shared" si="1"/>
        <v/>
      </c>
    </row>
    <row r="26" spans="1:22">
      <c r="A26" s="48"/>
      <c r="B26" s="48"/>
      <c r="C26" s="48"/>
      <c r="D26" s="48"/>
      <c r="E26" s="48"/>
      <c r="F26" s="48"/>
      <c r="G26" s="48"/>
      <c r="H26" s="48"/>
      <c r="I26" s="48"/>
      <c r="J26" s="49"/>
      <c r="K26" s="48"/>
      <c r="L26" s="49"/>
      <c r="M26" s="48"/>
      <c r="N26" s="48"/>
      <c r="O26" s="49"/>
      <c r="P26" s="48"/>
      <c r="Q26" s="48"/>
      <c r="R26" s="48"/>
      <c r="S26" s="48"/>
      <c r="T26" s="50" t="str">
        <f t="shared" si="0"/>
        <v/>
      </c>
      <c r="U26" s="50">
        <v>1</v>
      </c>
      <c r="V26" s="22" t="str">
        <f t="shared" si="1"/>
        <v/>
      </c>
    </row>
    <row r="27" spans="1:22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50" t="str">
        <f t="shared" si="0"/>
        <v/>
      </c>
      <c r="U27" s="50">
        <v>1</v>
      </c>
      <c r="V27" s="22" t="str">
        <f t="shared" si="1"/>
        <v/>
      </c>
    </row>
    <row r="28" spans="1:22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50" t="str">
        <f t="shared" si="0"/>
        <v/>
      </c>
      <c r="U28" s="50">
        <v>1</v>
      </c>
      <c r="V28" s="22" t="str">
        <f t="shared" si="1"/>
        <v/>
      </c>
    </row>
    <row r="29" spans="1:22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50" t="str">
        <f t="shared" si="0"/>
        <v/>
      </c>
      <c r="U29" s="50">
        <v>1</v>
      </c>
      <c r="V29" s="22" t="str">
        <f t="shared" si="1"/>
        <v/>
      </c>
    </row>
    <row r="30" spans="1:22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50" t="str">
        <f t="shared" si="0"/>
        <v/>
      </c>
      <c r="U30" s="50">
        <v>1</v>
      </c>
      <c r="V30" s="22" t="str">
        <f t="shared" si="1"/>
        <v/>
      </c>
    </row>
    <row r="31" spans="1:22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50" t="str">
        <f t="shared" si="0"/>
        <v/>
      </c>
      <c r="U31" s="50">
        <v>1</v>
      </c>
      <c r="V31" s="22" t="str">
        <f t="shared" si="1"/>
        <v/>
      </c>
    </row>
    <row r="32" spans="1:22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50" t="str">
        <f t="shared" si="0"/>
        <v/>
      </c>
      <c r="U32" s="50">
        <v>1</v>
      </c>
      <c r="V32" s="22" t="str">
        <f t="shared" si="1"/>
        <v/>
      </c>
    </row>
    <row r="33" spans="1:22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50" t="str">
        <f t="shared" si="0"/>
        <v/>
      </c>
      <c r="U33" s="50">
        <v>1</v>
      </c>
      <c r="V33" s="22" t="str">
        <f t="shared" si="1"/>
        <v/>
      </c>
    </row>
    <row r="34" spans="1:22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50" t="str">
        <f t="shared" si="0"/>
        <v/>
      </c>
      <c r="U34" s="50">
        <v>1</v>
      </c>
      <c r="V34" s="22" t="str">
        <f t="shared" si="1"/>
        <v/>
      </c>
    </row>
    <row r="35" spans="1:22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50" t="str">
        <f t="shared" si="0"/>
        <v/>
      </c>
      <c r="U35" s="50">
        <v>1</v>
      </c>
      <c r="V35" s="22" t="str">
        <f t="shared" si="1"/>
        <v/>
      </c>
    </row>
    <row r="36" spans="1:22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50" t="str">
        <f t="shared" si="0"/>
        <v/>
      </c>
      <c r="U36" s="50">
        <v>1</v>
      </c>
      <c r="V36" s="22" t="str">
        <f t="shared" si="1"/>
        <v/>
      </c>
    </row>
    <row r="37" spans="1:22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50" t="str">
        <f t="shared" si="0"/>
        <v/>
      </c>
      <c r="U37" s="50">
        <v>1</v>
      </c>
      <c r="V37" s="22" t="str">
        <f t="shared" si="1"/>
        <v/>
      </c>
    </row>
    <row r="38" spans="1:22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50" t="str">
        <f t="shared" si="0"/>
        <v/>
      </c>
      <c r="U38" s="50">
        <v>1</v>
      </c>
      <c r="V38" s="22" t="str">
        <f t="shared" si="1"/>
        <v/>
      </c>
    </row>
    <row r="39" spans="1:22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50" t="str">
        <f t="shared" si="0"/>
        <v/>
      </c>
      <c r="U39" s="50">
        <v>1</v>
      </c>
      <c r="V39" s="22" t="str">
        <f t="shared" si="1"/>
        <v/>
      </c>
    </row>
    <row r="40" spans="1:22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50" t="str">
        <f t="shared" si="0"/>
        <v/>
      </c>
      <c r="U40" s="50">
        <v>1</v>
      </c>
      <c r="V40" s="22" t="str">
        <f t="shared" si="1"/>
        <v/>
      </c>
    </row>
    <row r="41" spans="1:22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50" t="str">
        <f t="shared" si="0"/>
        <v/>
      </c>
      <c r="U41" s="50">
        <v>1</v>
      </c>
      <c r="V41" s="22" t="str">
        <f t="shared" si="1"/>
        <v/>
      </c>
    </row>
    <row r="42" spans="1:22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50" t="str">
        <f t="shared" si="0"/>
        <v/>
      </c>
      <c r="U42" s="50">
        <v>1</v>
      </c>
      <c r="V42" s="22" t="str">
        <f t="shared" si="1"/>
        <v/>
      </c>
    </row>
    <row r="43" spans="1:22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50" t="str">
        <f t="shared" si="0"/>
        <v/>
      </c>
      <c r="U43" s="50"/>
      <c r="V43" s="22" t="str">
        <f t="shared" si="1"/>
        <v/>
      </c>
    </row>
    <row r="44" spans="1:22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50" t="str">
        <f t="shared" si="0"/>
        <v/>
      </c>
      <c r="U44" s="50"/>
      <c r="V44" s="22" t="str">
        <f t="shared" si="1"/>
        <v/>
      </c>
    </row>
    <row r="45" spans="1:22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50" t="str">
        <f t="shared" si="0"/>
        <v/>
      </c>
      <c r="U45" s="50"/>
      <c r="V45" s="22" t="str">
        <f t="shared" si="1"/>
        <v/>
      </c>
    </row>
    <row r="46" spans="1:22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50" t="str">
        <f t="shared" si="0"/>
        <v/>
      </c>
      <c r="U46" s="50"/>
      <c r="V46" s="22" t="str">
        <f t="shared" si="1"/>
        <v/>
      </c>
    </row>
    <row r="47" spans="1:22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50" t="str">
        <f t="shared" si="0"/>
        <v/>
      </c>
      <c r="U47" s="50"/>
      <c r="V47" s="22" t="str">
        <f t="shared" si="1"/>
        <v/>
      </c>
    </row>
    <row r="48" spans="1:22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50" t="str">
        <f t="shared" si="0"/>
        <v/>
      </c>
      <c r="U48" s="50"/>
      <c r="V48" s="22" t="str">
        <f t="shared" si="1"/>
        <v/>
      </c>
    </row>
    <row r="49" spans="1:22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50" t="str">
        <f t="shared" si="0"/>
        <v/>
      </c>
      <c r="U49" s="50"/>
      <c r="V49" s="22" t="str">
        <f t="shared" si="1"/>
        <v/>
      </c>
    </row>
    <row r="50" spans="1:22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50" t="str">
        <f t="shared" si="0"/>
        <v/>
      </c>
      <c r="U50" s="50"/>
      <c r="V50" s="22" t="str">
        <f t="shared" si="1"/>
        <v/>
      </c>
    </row>
    <row r="51" spans="1:22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50" t="str">
        <f t="shared" si="0"/>
        <v/>
      </c>
      <c r="U51" s="50"/>
      <c r="V51" s="22" t="str">
        <f t="shared" si="1"/>
        <v/>
      </c>
    </row>
    <row r="52" spans="1:22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50" t="str">
        <f t="shared" si="0"/>
        <v/>
      </c>
      <c r="U52" s="50"/>
      <c r="V52" s="22" t="str">
        <f t="shared" si="1"/>
        <v/>
      </c>
    </row>
    <row r="53" spans="1:22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50" t="str">
        <f t="shared" si="0"/>
        <v/>
      </c>
      <c r="U53" s="50"/>
      <c r="V53" s="22" t="str">
        <f t="shared" si="1"/>
        <v/>
      </c>
    </row>
    <row r="54" spans="1:22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50" t="str">
        <f t="shared" si="0"/>
        <v/>
      </c>
      <c r="U54" s="50"/>
      <c r="V54" s="22" t="str">
        <f t="shared" si="1"/>
        <v/>
      </c>
    </row>
    <row r="55" spans="1:22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50" t="str">
        <f t="shared" si="0"/>
        <v/>
      </c>
      <c r="U55" s="50"/>
      <c r="V55" s="22" t="str">
        <f t="shared" si="1"/>
        <v/>
      </c>
    </row>
    <row r="56" spans="1:22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50" t="str">
        <f t="shared" si="0"/>
        <v/>
      </c>
      <c r="U56" s="50"/>
      <c r="V56" s="22" t="str">
        <f t="shared" si="1"/>
        <v/>
      </c>
    </row>
    <row r="57" spans="1:22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50" t="str">
        <f t="shared" si="0"/>
        <v/>
      </c>
      <c r="U57" s="50"/>
      <c r="V57" s="22" t="str">
        <f t="shared" si="1"/>
        <v/>
      </c>
    </row>
    <row r="58" spans="1:22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50" t="str">
        <f t="shared" si="0"/>
        <v/>
      </c>
      <c r="U58" s="50"/>
      <c r="V58" s="22" t="str">
        <f t="shared" si="1"/>
        <v/>
      </c>
    </row>
    <row r="59" spans="1:22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50" t="str">
        <f t="shared" si="0"/>
        <v/>
      </c>
      <c r="U59" s="50"/>
      <c r="V59" s="22" t="str">
        <f t="shared" si="1"/>
        <v/>
      </c>
    </row>
    <row r="60" spans="1:22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50" t="str">
        <f t="shared" si="0"/>
        <v/>
      </c>
      <c r="U60" s="50"/>
      <c r="V60" s="22" t="str">
        <f t="shared" si="1"/>
        <v/>
      </c>
    </row>
    <row r="61" spans="1:22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50" t="str">
        <f t="shared" si="0"/>
        <v/>
      </c>
      <c r="U61" s="50"/>
      <c r="V61" s="22" t="str">
        <f t="shared" si="1"/>
        <v/>
      </c>
    </row>
    <row r="62" spans="1:22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50" t="str">
        <f t="shared" si="0"/>
        <v/>
      </c>
      <c r="U62" s="50"/>
      <c r="V62" s="22" t="str">
        <f t="shared" si="1"/>
        <v/>
      </c>
    </row>
    <row r="63" spans="1:22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50" t="str">
        <f t="shared" si="0"/>
        <v/>
      </c>
      <c r="U63" s="50"/>
      <c r="V63" s="22" t="str">
        <f t="shared" si="1"/>
        <v/>
      </c>
    </row>
    <row r="64" spans="1:22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50" t="str">
        <f t="shared" si="0"/>
        <v/>
      </c>
      <c r="U64" s="50"/>
      <c r="V64" s="22" t="str">
        <f t="shared" si="1"/>
        <v/>
      </c>
    </row>
    <row r="65" spans="1:22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50" t="str">
        <f t="shared" si="0"/>
        <v/>
      </c>
      <c r="U65" s="50"/>
      <c r="V65" s="22" t="str">
        <f t="shared" si="1"/>
        <v/>
      </c>
    </row>
    <row r="66" spans="1:22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50" t="str">
        <f t="shared" si="0"/>
        <v/>
      </c>
      <c r="U66" s="50"/>
      <c r="V66" s="22" t="str">
        <f t="shared" si="1"/>
        <v/>
      </c>
    </row>
    <row r="67" spans="1:22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50" t="str">
        <f t="shared" ref="T67:T130" si="2">IF(A67="", "",IF(L67&gt;O67,"",NETWORKDAYS.INTL(L67,O67,1,FERIADOS)))</f>
        <v/>
      </c>
      <c r="U67" s="50"/>
      <c r="V67" s="22" t="str">
        <f t="shared" si="1"/>
        <v/>
      </c>
    </row>
    <row r="68" spans="1:22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50" t="str">
        <f t="shared" si="2"/>
        <v/>
      </c>
      <c r="U68" s="50"/>
      <c r="V68" s="22" t="str">
        <f t="shared" si="1"/>
        <v/>
      </c>
    </row>
    <row r="69" spans="1:22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50" t="str">
        <f t="shared" si="2"/>
        <v/>
      </c>
      <c r="U69" s="50"/>
      <c r="V69" s="22" t="str">
        <f t="shared" si="1"/>
        <v/>
      </c>
    </row>
    <row r="70" spans="1:22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50" t="str">
        <f t="shared" si="2"/>
        <v/>
      </c>
      <c r="U70" s="50"/>
      <c r="V70" s="22" t="str">
        <f t="shared" si="1"/>
        <v/>
      </c>
    </row>
    <row r="71" spans="1:22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50" t="str">
        <f t="shared" si="2"/>
        <v/>
      </c>
      <c r="U71" s="50"/>
      <c r="V71" s="22" t="str">
        <f t="shared" si="1"/>
        <v/>
      </c>
    </row>
    <row r="72" spans="1:22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50" t="str">
        <f t="shared" si="2"/>
        <v/>
      </c>
      <c r="U72" s="50"/>
      <c r="V72" s="22" t="str">
        <f t="shared" si="1"/>
        <v/>
      </c>
    </row>
    <row r="73" spans="1:22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50" t="str">
        <f t="shared" si="2"/>
        <v/>
      </c>
      <c r="U73" s="50"/>
      <c r="V73" s="22" t="str">
        <f t="shared" si="1"/>
        <v/>
      </c>
    </row>
    <row r="74" spans="1:22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50" t="str">
        <f t="shared" si="2"/>
        <v/>
      </c>
      <c r="U74" s="50"/>
      <c r="V74" s="22" t="str">
        <f t="shared" si="1"/>
        <v/>
      </c>
    </row>
    <row r="75" spans="1:22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50" t="str">
        <f t="shared" si="2"/>
        <v/>
      </c>
      <c r="U75" s="50"/>
      <c r="V75" s="22" t="str">
        <f t="shared" si="1"/>
        <v/>
      </c>
    </row>
    <row r="76" spans="1:22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50" t="str">
        <f t="shared" si="2"/>
        <v/>
      </c>
      <c r="U76" s="50"/>
      <c r="V76" s="22" t="str">
        <f t="shared" si="1"/>
        <v/>
      </c>
    </row>
    <row r="77" spans="1:22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50" t="str">
        <f t="shared" si="2"/>
        <v/>
      </c>
      <c r="U77" s="50"/>
      <c r="V77" s="22" t="str">
        <f t="shared" si="1"/>
        <v/>
      </c>
    </row>
    <row r="78" spans="1:22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50" t="str">
        <f t="shared" si="2"/>
        <v/>
      </c>
      <c r="U78" s="50"/>
      <c r="V78" s="22" t="str">
        <f t="shared" si="1"/>
        <v/>
      </c>
    </row>
    <row r="79" spans="1:22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50" t="str">
        <f t="shared" si="2"/>
        <v/>
      </c>
      <c r="U79" s="50"/>
      <c r="V79" s="22" t="str">
        <f t="shared" si="1"/>
        <v/>
      </c>
    </row>
    <row r="80" spans="1:22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50" t="str">
        <f t="shared" si="2"/>
        <v/>
      </c>
      <c r="U80" s="50"/>
      <c r="V80" s="22" t="str">
        <f t="shared" si="1"/>
        <v/>
      </c>
    </row>
    <row r="81" spans="1:22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50" t="str">
        <f t="shared" si="2"/>
        <v/>
      </c>
      <c r="U81" s="50"/>
      <c r="V81" s="22" t="str">
        <f t="shared" si="1"/>
        <v/>
      </c>
    </row>
    <row r="82" spans="1:22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50" t="str">
        <f t="shared" si="2"/>
        <v/>
      </c>
      <c r="U82" s="50"/>
      <c r="V82" s="22" t="str">
        <f t="shared" si="1"/>
        <v/>
      </c>
    </row>
    <row r="83" spans="1:22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50" t="str">
        <f t="shared" si="2"/>
        <v/>
      </c>
      <c r="U83" s="50"/>
      <c r="V83" s="22" t="str">
        <f t="shared" si="1"/>
        <v/>
      </c>
    </row>
    <row r="84" spans="1:22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50" t="str">
        <f t="shared" si="2"/>
        <v/>
      </c>
      <c r="U84" s="50"/>
      <c r="V84" s="22" t="str">
        <f t="shared" si="1"/>
        <v/>
      </c>
    </row>
    <row r="85" spans="1:22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50" t="str">
        <f t="shared" si="2"/>
        <v/>
      </c>
      <c r="U85" s="50"/>
      <c r="V85" s="22" t="str">
        <f t="shared" si="1"/>
        <v/>
      </c>
    </row>
    <row r="86" spans="1:22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50" t="str">
        <f t="shared" si="2"/>
        <v/>
      </c>
      <c r="U86" s="50"/>
      <c r="V86" s="22" t="str">
        <f t="shared" si="1"/>
        <v/>
      </c>
    </row>
    <row r="87" spans="1:22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50" t="str">
        <f t="shared" si="2"/>
        <v/>
      </c>
      <c r="U87" s="50"/>
      <c r="V87" s="22" t="str">
        <f t="shared" si="1"/>
        <v/>
      </c>
    </row>
    <row r="88" spans="1:22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50" t="str">
        <f t="shared" si="2"/>
        <v/>
      </c>
      <c r="U88" s="50"/>
      <c r="V88" s="22" t="str">
        <f t="shared" si="1"/>
        <v/>
      </c>
    </row>
    <row r="89" spans="1:22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50" t="str">
        <f t="shared" si="2"/>
        <v/>
      </c>
      <c r="U89" s="50"/>
      <c r="V89" s="22" t="str">
        <f t="shared" si="1"/>
        <v/>
      </c>
    </row>
    <row r="90" spans="1:22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50" t="str">
        <f t="shared" si="2"/>
        <v/>
      </c>
      <c r="U90" s="50"/>
      <c r="V90" s="22" t="str">
        <f t="shared" si="1"/>
        <v/>
      </c>
    </row>
    <row r="91" spans="1:22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50" t="str">
        <f t="shared" si="2"/>
        <v/>
      </c>
      <c r="U91" s="50"/>
      <c r="V91" s="22" t="str">
        <f t="shared" si="1"/>
        <v/>
      </c>
    </row>
    <row r="92" spans="1:22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50" t="str">
        <f t="shared" si="2"/>
        <v/>
      </c>
      <c r="U92" s="50"/>
      <c r="V92" s="22" t="str">
        <f t="shared" si="1"/>
        <v/>
      </c>
    </row>
    <row r="93" spans="1:22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50" t="str">
        <f t="shared" si="2"/>
        <v/>
      </c>
      <c r="U93" s="50"/>
      <c r="V93" s="22" t="str">
        <f t="shared" si="1"/>
        <v/>
      </c>
    </row>
    <row r="94" spans="1:22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50" t="str">
        <f t="shared" si="2"/>
        <v/>
      </c>
      <c r="U94" s="50"/>
      <c r="V94" s="22" t="str">
        <f t="shared" si="1"/>
        <v/>
      </c>
    </row>
    <row r="95" spans="1:22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50" t="str">
        <f t="shared" si="2"/>
        <v/>
      </c>
      <c r="U95" s="50"/>
      <c r="V95" s="22" t="str">
        <f t="shared" si="1"/>
        <v/>
      </c>
    </row>
    <row r="96" spans="1:22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50" t="str">
        <f t="shared" si="2"/>
        <v/>
      </c>
      <c r="U96" s="50"/>
      <c r="V96" s="22" t="str">
        <f t="shared" si="1"/>
        <v/>
      </c>
    </row>
    <row r="97" spans="1:22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50" t="str">
        <f t="shared" si="2"/>
        <v/>
      </c>
      <c r="U97" s="50"/>
      <c r="V97" s="22" t="str">
        <f t="shared" si="1"/>
        <v/>
      </c>
    </row>
    <row r="98" spans="1:22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50" t="str">
        <f t="shared" si="2"/>
        <v/>
      </c>
      <c r="U98" s="50"/>
      <c r="V98" s="22" t="str">
        <f t="shared" si="1"/>
        <v/>
      </c>
    </row>
    <row r="99" spans="1:22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50" t="str">
        <f t="shared" si="2"/>
        <v/>
      </c>
      <c r="U99" s="50"/>
      <c r="V99" s="22" t="str">
        <f t="shared" si="1"/>
        <v/>
      </c>
    </row>
    <row r="100" spans="1:22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50" t="str">
        <f t="shared" si="2"/>
        <v/>
      </c>
      <c r="U100" s="50"/>
      <c r="V100" s="22" t="str">
        <f t="shared" si="1"/>
        <v/>
      </c>
    </row>
    <row r="101" spans="1:22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50" t="str">
        <f t="shared" si="2"/>
        <v/>
      </c>
      <c r="U101" s="50"/>
      <c r="V101" s="22" t="str">
        <f t="shared" si="1"/>
        <v/>
      </c>
    </row>
    <row r="102" spans="1:22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50" t="str">
        <f t="shared" si="2"/>
        <v/>
      </c>
      <c r="U102" s="50"/>
      <c r="V102" s="22" t="str">
        <f t="shared" si="1"/>
        <v/>
      </c>
    </row>
    <row r="103" spans="1:22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50" t="str">
        <f t="shared" si="2"/>
        <v/>
      </c>
      <c r="U103" s="50"/>
      <c r="V103" s="22" t="str">
        <f t="shared" si="1"/>
        <v/>
      </c>
    </row>
    <row r="104" spans="1:22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50" t="str">
        <f t="shared" si="2"/>
        <v/>
      </c>
      <c r="U104" s="50"/>
      <c r="V104" s="22" t="str">
        <f t="shared" si="1"/>
        <v/>
      </c>
    </row>
    <row r="105" spans="1:22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50" t="str">
        <f t="shared" si="2"/>
        <v/>
      </c>
      <c r="U105" s="50"/>
      <c r="V105" s="22" t="str">
        <f t="shared" si="1"/>
        <v/>
      </c>
    </row>
    <row r="106" spans="1:22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50" t="str">
        <f t="shared" si="2"/>
        <v/>
      </c>
      <c r="U106" s="50"/>
      <c r="V106" s="22" t="str">
        <f t="shared" si="1"/>
        <v/>
      </c>
    </row>
    <row r="107" spans="1:22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50" t="str">
        <f t="shared" si="2"/>
        <v/>
      </c>
      <c r="U107" s="50"/>
      <c r="V107" s="22" t="str">
        <f t="shared" si="1"/>
        <v/>
      </c>
    </row>
    <row r="108" spans="1:22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50" t="str">
        <f t="shared" si="2"/>
        <v/>
      </c>
      <c r="U108" s="50"/>
      <c r="V108" s="22" t="str">
        <f t="shared" si="1"/>
        <v/>
      </c>
    </row>
    <row r="109" spans="1:22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50" t="str">
        <f t="shared" si="2"/>
        <v/>
      </c>
      <c r="U109" s="50"/>
      <c r="V109" s="22" t="str">
        <f t="shared" si="1"/>
        <v/>
      </c>
    </row>
    <row r="110" spans="1:22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50" t="str">
        <f t="shared" si="2"/>
        <v/>
      </c>
      <c r="U110" s="50"/>
      <c r="V110" s="22" t="str">
        <f t="shared" si="1"/>
        <v/>
      </c>
    </row>
    <row r="111" spans="1:22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50" t="str">
        <f t="shared" si="2"/>
        <v/>
      </c>
      <c r="U111" s="50"/>
      <c r="V111" s="22" t="str">
        <f t="shared" si="1"/>
        <v/>
      </c>
    </row>
    <row r="112" spans="1:22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50" t="str">
        <f t="shared" si="2"/>
        <v/>
      </c>
      <c r="U112" s="50"/>
      <c r="V112" s="22" t="str">
        <f t="shared" si="1"/>
        <v/>
      </c>
    </row>
    <row r="113" spans="1:22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50" t="str">
        <f t="shared" si="2"/>
        <v/>
      </c>
      <c r="U113" s="50"/>
      <c r="V113" s="22" t="str">
        <f t="shared" si="1"/>
        <v/>
      </c>
    </row>
    <row r="114" spans="1:22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50" t="str">
        <f t="shared" si="2"/>
        <v/>
      </c>
      <c r="U114" s="50"/>
      <c r="V114" s="22" t="str">
        <f t="shared" si="1"/>
        <v/>
      </c>
    </row>
    <row r="115" spans="1:22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50" t="str">
        <f t="shared" si="2"/>
        <v/>
      </c>
      <c r="U115" s="50"/>
      <c r="V115" s="22" t="str">
        <f t="shared" si="1"/>
        <v/>
      </c>
    </row>
    <row r="116" spans="1:22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50" t="str">
        <f t="shared" si="2"/>
        <v/>
      </c>
      <c r="U116" s="50"/>
      <c r="V116" s="22" t="str">
        <f t="shared" si="1"/>
        <v/>
      </c>
    </row>
    <row r="117" spans="1:22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50" t="str">
        <f t="shared" si="2"/>
        <v/>
      </c>
      <c r="U117" s="50"/>
      <c r="V117" s="22" t="str">
        <f t="shared" si="1"/>
        <v/>
      </c>
    </row>
    <row r="118" spans="1:22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50" t="str">
        <f t="shared" si="2"/>
        <v/>
      </c>
      <c r="U118" s="50"/>
      <c r="V118" s="22" t="str">
        <f t="shared" si="1"/>
        <v/>
      </c>
    </row>
    <row r="119" spans="1:22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50" t="str">
        <f t="shared" si="2"/>
        <v/>
      </c>
      <c r="U119" s="50"/>
      <c r="V119" s="22" t="str">
        <f t="shared" si="1"/>
        <v/>
      </c>
    </row>
    <row r="120" spans="1:22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50" t="str">
        <f t="shared" si="2"/>
        <v/>
      </c>
      <c r="U120" s="50"/>
      <c r="V120" s="22" t="str">
        <f t="shared" si="1"/>
        <v/>
      </c>
    </row>
    <row r="121" spans="1:22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50" t="str">
        <f t="shared" si="2"/>
        <v/>
      </c>
      <c r="U121" s="50"/>
      <c r="V121" s="22" t="str">
        <f t="shared" si="1"/>
        <v/>
      </c>
    </row>
    <row r="122" spans="1:22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50" t="str">
        <f t="shared" si="2"/>
        <v/>
      </c>
      <c r="U122" s="50"/>
      <c r="V122" s="22" t="str">
        <f t="shared" si="1"/>
        <v/>
      </c>
    </row>
    <row r="123" spans="1:22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50" t="str">
        <f t="shared" si="2"/>
        <v/>
      </c>
      <c r="U123" s="50"/>
      <c r="V123" s="22" t="str">
        <f t="shared" si="1"/>
        <v/>
      </c>
    </row>
    <row r="124" spans="1:22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50" t="str">
        <f t="shared" si="2"/>
        <v/>
      </c>
      <c r="U124" s="50"/>
      <c r="V124" s="22" t="str">
        <f t="shared" si="1"/>
        <v/>
      </c>
    </row>
    <row r="125" spans="1:22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50" t="str">
        <f t="shared" si="2"/>
        <v/>
      </c>
      <c r="U125" s="50"/>
      <c r="V125" s="22" t="str">
        <f t="shared" si="1"/>
        <v/>
      </c>
    </row>
    <row r="126" spans="1:22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50" t="str">
        <f t="shared" si="2"/>
        <v/>
      </c>
      <c r="U126" s="50"/>
      <c r="V126" s="22" t="str">
        <f t="shared" si="1"/>
        <v/>
      </c>
    </row>
    <row r="127" spans="1:22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50" t="str">
        <f t="shared" si="2"/>
        <v/>
      </c>
      <c r="U127" s="50"/>
      <c r="V127" s="22" t="str">
        <f t="shared" si="1"/>
        <v/>
      </c>
    </row>
    <row r="128" spans="1:22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50" t="str">
        <f t="shared" si="2"/>
        <v/>
      </c>
      <c r="U128" s="50"/>
      <c r="V128" s="22" t="str">
        <f t="shared" si="1"/>
        <v/>
      </c>
    </row>
    <row r="129" spans="1:22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50" t="str">
        <f t="shared" si="2"/>
        <v/>
      </c>
      <c r="U129" s="50"/>
      <c r="V129" s="22" t="str">
        <f t="shared" si="1"/>
        <v/>
      </c>
    </row>
    <row r="130" spans="1:22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50" t="str">
        <f t="shared" si="2"/>
        <v/>
      </c>
      <c r="U130" s="50"/>
      <c r="V130" s="22" t="str">
        <f t="shared" si="1"/>
        <v/>
      </c>
    </row>
    <row r="131" spans="1:22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50" t="str">
        <f t="shared" ref="T131:T194" si="3">IF(A131="", "",IF(L131&gt;O131,"",NETWORKDAYS.INTL(L131,O131,1,FERIADOS)))</f>
        <v/>
      </c>
      <c r="U131" s="50"/>
      <c r="V131" s="22" t="str">
        <f t="shared" si="1"/>
        <v/>
      </c>
    </row>
    <row r="132" spans="1:22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50" t="str">
        <f t="shared" si="3"/>
        <v/>
      </c>
      <c r="U132" s="50"/>
      <c r="V132" s="22" t="str">
        <f t="shared" si="1"/>
        <v/>
      </c>
    </row>
    <row r="133" spans="1:22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50" t="str">
        <f t="shared" si="3"/>
        <v/>
      </c>
      <c r="U133" s="50"/>
      <c r="V133" s="22" t="str">
        <f t="shared" si="1"/>
        <v/>
      </c>
    </row>
    <row r="134" spans="1:22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50" t="str">
        <f t="shared" si="3"/>
        <v/>
      </c>
      <c r="U134" s="50"/>
      <c r="V134" s="22" t="str">
        <f t="shared" si="1"/>
        <v/>
      </c>
    </row>
    <row r="135" spans="1:22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50" t="str">
        <f t="shared" si="3"/>
        <v/>
      </c>
      <c r="U135" s="50"/>
      <c r="V135" s="22" t="str">
        <f t="shared" si="1"/>
        <v/>
      </c>
    </row>
    <row r="136" spans="1:22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50" t="str">
        <f t="shared" si="3"/>
        <v/>
      </c>
      <c r="U136" s="50"/>
      <c r="V136" s="22" t="str">
        <f t="shared" si="1"/>
        <v/>
      </c>
    </row>
    <row r="137" spans="1:22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50" t="str">
        <f t="shared" si="3"/>
        <v/>
      </c>
      <c r="U137" s="50"/>
      <c r="V137" s="22" t="str">
        <f t="shared" si="1"/>
        <v/>
      </c>
    </row>
    <row r="138" spans="1:22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50" t="str">
        <f t="shared" si="3"/>
        <v/>
      </c>
      <c r="U138" s="50"/>
      <c r="V138" s="22" t="str">
        <f t="shared" si="1"/>
        <v/>
      </c>
    </row>
    <row r="139" spans="1:22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50" t="str">
        <f t="shared" si="3"/>
        <v/>
      </c>
      <c r="U139" s="50"/>
      <c r="V139" s="22" t="str">
        <f t="shared" si="1"/>
        <v/>
      </c>
    </row>
    <row r="140" spans="1:22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50" t="str">
        <f t="shared" si="3"/>
        <v/>
      </c>
      <c r="U140" s="50"/>
      <c r="V140" s="22" t="str">
        <f t="shared" si="1"/>
        <v/>
      </c>
    </row>
    <row r="141" spans="1:22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50" t="str">
        <f t="shared" si="3"/>
        <v/>
      </c>
      <c r="U141" s="50"/>
      <c r="V141" s="22" t="str">
        <f t="shared" si="1"/>
        <v/>
      </c>
    </row>
    <row r="142" spans="1:22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50" t="str">
        <f t="shared" si="3"/>
        <v/>
      </c>
      <c r="U142" s="50"/>
      <c r="V142" s="22" t="str">
        <f t="shared" si="1"/>
        <v/>
      </c>
    </row>
    <row r="143" spans="1:22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50" t="str">
        <f t="shared" si="3"/>
        <v/>
      </c>
      <c r="U143" s="50"/>
      <c r="V143" s="22" t="str">
        <f t="shared" si="1"/>
        <v/>
      </c>
    </row>
    <row r="144" spans="1:22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50" t="str">
        <f t="shared" si="3"/>
        <v/>
      </c>
      <c r="U144" s="50"/>
      <c r="V144" s="22" t="str">
        <f t="shared" si="1"/>
        <v/>
      </c>
    </row>
    <row r="145" spans="1:22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50" t="str">
        <f t="shared" si="3"/>
        <v/>
      </c>
      <c r="U145" s="50"/>
      <c r="V145" s="22" t="str">
        <f t="shared" si="1"/>
        <v/>
      </c>
    </row>
    <row r="146" spans="1:22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50" t="str">
        <f t="shared" si="3"/>
        <v/>
      </c>
      <c r="U146" s="50"/>
      <c r="V146" s="22" t="str">
        <f t="shared" si="1"/>
        <v/>
      </c>
    </row>
    <row r="147" spans="1:22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50" t="str">
        <f t="shared" si="3"/>
        <v/>
      </c>
      <c r="U147" s="50"/>
      <c r="V147" s="22" t="str">
        <f t="shared" si="1"/>
        <v/>
      </c>
    </row>
    <row r="148" spans="1:22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50" t="str">
        <f t="shared" si="3"/>
        <v/>
      </c>
      <c r="U148" s="50"/>
      <c r="V148" s="22" t="str">
        <f t="shared" si="1"/>
        <v/>
      </c>
    </row>
    <row r="149" spans="1:22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50" t="str">
        <f t="shared" si="3"/>
        <v/>
      </c>
      <c r="U149" s="50"/>
      <c r="V149" s="22" t="str">
        <f t="shared" si="1"/>
        <v/>
      </c>
    </row>
    <row r="150" spans="1:22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50" t="str">
        <f t="shared" si="3"/>
        <v/>
      </c>
      <c r="U150" s="50"/>
      <c r="V150" s="22" t="str">
        <f t="shared" si="1"/>
        <v/>
      </c>
    </row>
    <row r="151" spans="1:22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50" t="str">
        <f t="shared" si="3"/>
        <v/>
      </c>
      <c r="U151" s="50"/>
      <c r="V151" s="22" t="str">
        <f t="shared" si="1"/>
        <v/>
      </c>
    </row>
    <row r="152" spans="1:22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50" t="str">
        <f t="shared" si="3"/>
        <v/>
      </c>
      <c r="U152" s="50"/>
      <c r="V152" s="22" t="str">
        <f t="shared" si="1"/>
        <v/>
      </c>
    </row>
    <row r="153" spans="1:22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50" t="str">
        <f t="shared" si="3"/>
        <v/>
      </c>
      <c r="U153" s="50"/>
      <c r="V153" s="22" t="str">
        <f t="shared" si="1"/>
        <v/>
      </c>
    </row>
    <row r="154" spans="1:22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50" t="str">
        <f t="shared" si="3"/>
        <v/>
      </c>
      <c r="U154" s="50"/>
      <c r="V154" s="22" t="str">
        <f t="shared" si="1"/>
        <v/>
      </c>
    </row>
    <row r="155" spans="1:22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50" t="str">
        <f t="shared" si="3"/>
        <v/>
      </c>
      <c r="U155" s="50"/>
      <c r="V155" s="22" t="str">
        <f t="shared" si="1"/>
        <v/>
      </c>
    </row>
    <row r="156" spans="1:22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50" t="str">
        <f t="shared" si="3"/>
        <v/>
      </c>
      <c r="U156" s="50"/>
      <c r="V156" s="22" t="str">
        <f t="shared" si="1"/>
        <v/>
      </c>
    </row>
    <row r="157" spans="1:22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50" t="str">
        <f t="shared" si="3"/>
        <v/>
      </c>
      <c r="U157" s="50"/>
      <c r="V157" s="22" t="str">
        <f t="shared" si="1"/>
        <v/>
      </c>
    </row>
    <row r="158" spans="1:22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50" t="str">
        <f t="shared" si="3"/>
        <v/>
      </c>
      <c r="U158" s="50"/>
      <c r="V158" s="22" t="str">
        <f t="shared" si="1"/>
        <v/>
      </c>
    </row>
    <row r="159" spans="1:22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50" t="str">
        <f t="shared" si="3"/>
        <v/>
      </c>
      <c r="U159" s="50"/>
      <c r="V159" s="22" t="str">
        <f t="shared" si="1"/>
        <v/>
      </c>
    </row>
    <row r="160" spans="1:22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50" t="str">
        <f t="shared" si="3"/>
        <v/>
      </c>
      <c r="U160" s="50"/>
      <c r="V160" s="22" t="str">
        <f t="shared" si="1"/>
        <v/>
      </c>
    </row>
    <row r="161" spans="1:22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50" t="str">
        <f t="shared" si="3"/>
        <v/>
      </c>
      <c r="U161" s="50"/>
      <c r="V161" s="22" t="str">
        <f t="shared" si="1"/>
        <v/>
      </c>
    </row>
    <row r="162" spans="1:22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50" t="str">
        <f t="shared" si="3"/>
        <v/>
      </c>
      <c r="U162" s="50"/>
      <c r="V162" s="22" t="str">
        <f t="shared" si="1"/>
        <v/>
      </c>
    </row>
    <row r="163" spans="1:22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50" t="str">
        <f t="shared" si="3"/>
        <v/>
      </c>
      <c r="U163" s="50"/>
      <c r="V163" s="22" t="str">
        <f t="shared" si="1"/>
        <v/>
      </c>
    </row>
    <row r="164" spans="1:22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50" t="str">
        <f t="shared" si="3"/>
        <v/>
      </c>
      <c r="U164" s="50"/>
      <c r="V164" s="22" t="str">
        <f t="shared" si="1"/>
        <v/>
      </c>
    </row>
    <row r="165" spans="1:22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50" t="str">
        <f t="shared" si="3"/>
        <v/>
      </c>
      <c r="U165" s="50"/>
      <c r="V165" s="22" t="str">
        <f t="shared" si="1"/>
        <v/>
      </c>
    </row>
    <row r="166" spans="1:22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50" t="str">
        <f t="shared" si="3"/>
        <v/>
      </c>
      <c r="U166" s="50"/>
      <c r="V166" s="22" t="str">
        <f t="shared" si="1"/>
        <v/>
      </c>
    </row>
    <row r="167" spans="1:22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50" t="str">
        <f t="shared" si="3"/>
        <v/>
      </c>
      <c r="U167" s="50"/>
      <c r="V167" s="22" t="str">
        <f t="shared" si="1"/>
        <v/>
      </c>
    </row>
    <row r="168" spans="1:22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50" t="str">
        <f t="shared" si="3"/>
        <v/>
      </c>
      <c r="U168" s="50"/>
      <c r="V168" s="22" t="str">
        <f t="shared" si="1"/>
        <v/>
      </c>
    </row>
    <row r="169" spans="1:22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50" t="str">
        <f t="shared" si="3"/>
        <v/>
      </c>
      <c r="U169" s="50"/>
      <c r="V169" s="22" t="str">
        <f t="shared" si="1"/>
        <v/>
      </c>
    </row>
    <row r="170" spans="1:22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50" t="str">
        <f t="shared" si="3"/>
        <v/>
      </c>
      <c r="U170" s="50"/>
      <c r="V170" s="22" t="str">
        <f t="shared" si="1"/>
        <v/>
      </c>
    </row>
    <row r="171" spans="1:22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50" t="str">
        <f t="shared" si="3"/>
        <v/>
      </c>
      <c r="U171" s="50"/>
      <c r="V171" s="22" t="str">
        <f t="shared" si="1"/>
        <v/>
      </c>
    </row>
    <row r="172" spans="1:22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50" t="str">
        <f t="shared" si="3"/>
        <v/>
      </c>
      <c r="U172" s="50"/>
      <c r="V172" s="22" t="str">
        <f t="shared" si="1"/>
        <v/>
      </c>
    </row>
    <row r="173" spans="1:22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50" t="str">
        <f t="shared" si="3"/>
        <v/>
      </c>
      <c r="U173" s="50"/>
      <c r="V173" s="22" t="str">
        <f t="shared" si="1"/>
        <v/>
      </c>
    </row>
    <row r="174" spans="1:22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50" t="str">
        <f t="shared" si="3"/>
        <v/>
      </c>
      <c r="U174" s="50"/>
      <c r="V174" s="22" t="str">
        <f t="shared" si="1"/>
        <v/>
      </c>
    </row>
    <row r="175" spans="1:22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50" t="str">
        <f t="shared" si="3"/>
        <v/>
      </c>
      <c r="U175" s="50"/>
      <c r="V175" s="22" t="str">
        <f t="shared" si="1"/>
        <v/>
      </c>
    </row>
    <row r="176" spans="1:22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50" t="str">
        <f t="shared" si="3"/>
        <v/>
      </c>
      <c r="U176" s="50"/>
      <c r="V176" s="22" t="str">
        <f t="shared" si="1"/>
        <v/>
      </c>
    </row>
    <row r="177" spans="1:22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50" t="str">
        <f t="shared" si="3"/>
        <v/>
      </c>
      <c r="U177" s="50"/>
      <c r="V177" s="22" t="str">
        <f t="shared" si="1"/>
        <v/>
      </c>
    </row>
    <row r="178" spans="1:22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50" t="str">
        <f t="shared" si="3"/>
        <v/>
      </c>
      <c r="U178" s="50"/>
      <c r="V178" s="22" t="str">
        <f t="shared" si="1"/>
        <v/>
      </c>
    </row>
    <row r="179" spans="1:22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50" t="str">
        <f t="shared" si="3"/>
        <v/>
      </c>
      <c r="U179" s="50"/>
      <c r="V179" s="22" t="str">
        <f t="shared" si="1"/>
        <v/>
      </c>
    </row>
    <row r="180" spans="1:22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50" t="str">
        <f t="shared" si="3"/>
        <v/>
      </c>
      <c r="U180" s="50"/>
      <c r="V180" s="22" t="str">
        <f t="shared" si="1"/>
        <v/>
      </c>
    </row>
    <row r="181" spans="1:22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50" t="str">
        <f t="shared" si="3"/>
        <v/>
      </c>
      <c r="U181" s="50"/>
      <c r="V181" s="22" t="str">
        <f t="shared" si="1"/>
        <v/>
      </c>
    </row>
    <row r="182" spans="1:22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50" t="str">
        <f t="shared" si="3"/>
        <v/>
      </c>
      <c r="U182" s="50"/>
      <c r="V182" s="22" t="str">
        <f t="shared" si="1"/>
        <v/>
      </c>
    </row>
    <row r="183" spans="1:22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50" t="str">
        <f t="shared" si="3"/>
        <v/>
      </c>
      <c r="U183" s="50"/>
      <c r="V183" s="22" t="str">
        <f t="shared" si="1"/>
        <v/>
      </c>
    </row>
    <row r="184" spans="1:22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50" t="str">
        <f t="shared" si="3"/>
        <v/>
      </c>
      <c r="U184" s="50"/>
      <c r="V184" s="22" t="str">
        <f t="shared" si="1"/>
        <v/>
      </c>
    </row>
    <row r="185" spans="1:22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50" t="str">
        <f t="shared" si="3"/>
        <v/>
      </c>
      <c r="U185" s="50"/>
      <c r="V185" s="22" t="str">
        <f t="shared" si="1"/>
        <v/>
      </c>
    </row>
    <row r="186" spans="1:22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50" t="str">
        <f t="shared" si="3"/>
        <v/>
      </c>
      <c r="U186" s="50"/>
      <c r="V186" s="22" t="str">
        <f t="shared" si="1"/>
        <v/>
      </c>
    </row>
    <row r="187" spans="1:22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50" t="str">
        <f t="shared" si="3"/>
        <v/>
      </c>
      <c r="U187" s="50"/>
      <c r="V187" s="22" t="str">
        <f t="shared" si="1"/>
        <v/>
      </c>
    </row>
    <row r="188" spans="1:22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50" t="str">
        <f t="shared" si="3"/>
        <v/>
      </c>
      <c r="U188" s="50"/>
      <c r="V188" s="22" t="str">
        <f t="shared" si="1"/>
        <v/>
      </c>
    </row>
    <row r="189" spans="1:22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50" t="str">
        <f t="shared" si="3"/>
        <v/>
      </c>
      <c r="U189" s="50"/>
      <c r="V189" s="22" t="str">
        <f t="shared" si="1"/>
        <v/>
      </c>
    </row>
    <row r="190" spans="1:22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50" t="str">
        <f t="shared" si="3"/>
        <v/>
      </c>
      <c r="U190" s="50"/>
      <c r="V190" s="22" t="str">
        <f t="shared" si="1"/>
        <v/>
      </c>
    </row>
    <row r="191" spans="1:22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50" t="str">
        <f t="shared" si="3"/>
        <v/>
      </c>
      <c r="U191" s="50"/>
      <c r="V191" s="22" t="str">
        <f t="shared" si="1"/>
        <v/>
      </c>
    </row>
    <row r="192" spans="1:22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50" t="str">
        <f t="shared" si="3"/>
        <v/>
      </c>
      <c r="U192" s="50"/>
      <c r="V192" s="22" t="str">
        <f t="shared" si="1"/>
        <v/>
      </c>
    </row>
    <row r="193" spans="1:22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50" t="str">
        <f t="shared" si="3"/>
        <v/>
      </c>
      <c r="U193" s="50"/>
      <c r="V193" s="22" t="str">
        <f t="shared" si="1"/>
        <v/>
      </c>
    </row>
    <row r="194" spans="1:22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50" t="str">
        <f t="shared" si="3"/>
        <v/>
      </c>
      <c r="U194" s="50"/>
      <c r="V194" s="22" t="str">
        <f t="shared" si="1"/>
        <v/>
      </c>
    </row>
    <row r="195" spans="1:22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50" t="str">
        <f t="shared" ref="T195:T258" si="4">IF(A195="", "",IF(L195&gt;O195,"",NETWORKDAYS.INTL(L195,O195,1,FERIADOS)))</f>
        <v/>
      </c>
      <c r="U195" s="50"/>
      <c r="V195" s="22" t="str">
        <f t="shared" si="1"/>
        <v/>
      </c>
    </row>
    <row r="196" spans="1:22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50" t="str">
        <f t="shared" si="4"/>
        <v/>
      </c>
      <c r="U196" s="50"/>
      <c r="V196" s="22" t="str">
        <f t="shared" si="1"/>
        <v/>
      </c>
    </row>
    <row r="197" spans="1:22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50" t="str">
        <f t="shared" si="4"/>
        <v/>
      </c>
      <c r="U197" s="50"/>
      <c r="V197" s="22" t="str">
        <f t="shared" si="1"/>
        <v/>
      </c>
    </row>
    <row r="198" spans="1:22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50" t="str">
        <f t="shared" si="4"/>
        <v/>
      </c>
      <c r="U198" s="50"/>
      <c r="V198" s="22" t="str">
        <f t="shared" si="1"/>
        <v/>
      </c>
    </row>
    <row r="199" spans="1:22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50" t="str">
        <f t="shared" si="4"/>
        <v/>
      </c>
      <c r="U199" s="50"/>
      <c r="V199" s="22" t="str">
        <f t="shared" si="1"/>
        <v/>
      </c>
    </row>
    <row r="200" spans="1:22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50" t="str">
        <f t="shared" si="4"/>
        <v/>
      </c>
      <c r="U200" s="50"/>
      <c r="V200" s="22" t="str">
        <f t="shared" si="1"/>
        <v/>
      </c>
    </row>
    <row r="201" spans="1:22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50" t="str">
        <f t="shared" si="4"/>
        <v/>
      </c>
      <c r="U201" s="50"/>
      <c r="V201" s="22" t="str">
        <f t="shared" si="1"/>
        <v/>
      </c>
    </row>
    <row r="202" spans="1:22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50" t="str">
        <f t="shared" si="4"/>
        <v/>
      </c>
      <c r="U202" s="50"/>
      <c r="V202" s="22" t="str">
        <f t="shared" si="1"/>
        <v/>
      </c>
    </row>
    <row r="203" spans="1:22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50" t="str">
        <f t="shared" si="4"/>
        <v/>
      </c>
      <c r="U203" s="50"/>
      <c r="V203" s="22" t="str">
        <f t="shared" si="1"/>
        <v/>
      </c>
    </row>
    <row r="204" spans="1:22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50" t="str">
        <f t="shared" si="4"/>
        <v/>
      </c>
      <c r="U204" s="50"/>
      <c r="V204" s="22" t="str">
        <f t="shared" si="1"/>
        <v/>
      </c>
    </row>
    <row r="205" spans="1:22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50" t="str">
        <f t="shared" si="4"/>
        <v/>
      </c>
      <c r="U205" s="50"/>
      <c r="V205" s="22" t="str">
        <f t="shared" si="1"/>
        <v/>
      </c>
    </row>
    <row r="206" spans="1:22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50" t="str">
        <f t="shared" si="4"/>
        <v/>
      </c>
      <c r="U206" s="50"/>
      <c r="V206" s="22" t="str">
        <f t="shared" si="1"/>
        <v/>
      </c>
    </row>
    <row r="207" spans="1:22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50" t="str">
        <f t="shared" si="4"/>
        <v/>
      </c>
      <c r="U207" s="50"/>
      <c r="V207" s="22" t="str">
        <f t="shared" si="1"/>
        <v/>
      </c>
    </row>
    <row r="208" spans="1:22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50" t="str">
        <f t="shared" si="4"/>
        <v/>
      </c>
      <c r="U208" s="50"/>
      <c r="V208" s="22" t="str">
        <f t="shared" si="1"/>
        <v/>
      </c>
    </row>
    <row r="209" spans="1:22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50" t="str">
        <f t="shared" si="4"/>
        <v/>
      </c>
      <c r="U209" s="50"/>
      <c r="V209" s="22" t="str">
        <f t="shared" si="1"/>
        <v/>
      </c>
    </row>
    <row r="210" spans="1:22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50" t="str">
        <f t="shared" si="4"/>
        <v/>
      </c>
      <c r="U210" s="50"/>
      <c r="V210" s="22" t="str">
        <f t="shared" si="1"/>
        <v/>
      </c>
    </row>
    <row r="211" spans="1:22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50" t="str">
        <f t="shared" si="4"/>
        <v/>
      </c>
      <c r="U211" s="50"/>
      <c r="V211" s="22" t="str">
        <f t="shared" si="1"/>
        <v/>
      </c>
    </row>
    <row r="212" spans="1:22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50" t="str">
        <f t="shared" si="4"/>
        <v/>
      </c>
      <c r="U212" s="50"/>
      <c r="V212" s="22" t="str">
        <f t="shared" si="1"/>
        <v/>
      </c>
    </row>
    <row r="213" spans="1:22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50" t="str">
        <f t="shared" si="4"/>
        <v/>
      </c>
      <c r="U213" s="50"/>
      <c r="V213" s="22" t="str">
        <f t="shared" si="1"/>
        <v/>
      </c>
    </row>
    <row r="214" spans="1:22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50" t="str">
        <f t="shared" si="4"/>
        <v/>
      </c>
      <c r="U214" s="50"/>
      <c r="V214" s="22" t="str">
        <f t="shared" si="1"/>
        <v/>
      </c>
    </row>
    <row r="215" spans="1:22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50" t="str">
        <f t="shared" si="4"/>
        <v/>
      </c>
      <c r="U215" s="50"/>
      <c r="V215" s="22" t="str">
        <f t="shared" si="1"/>
        <v/>
      </c>
    </row>
    <row r="216" spans="1:22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50" t="str">
        <f t="shared" si="4"/>
        <v/>
      </c>
      <c r="U216" s="50"/>
      <c r="V216" s="22" t="str">
        <f t="shared" si="1"/>
        <v/>
      </c>
    </row>
    <row r="217" spans="1:22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50" t="str">
        <f t="shared" si="4"/>
        <v/>
      </c>
      <c r="U217" s="50"/>
      <c r="V217" s="22" t="str">
        <f t="shared" si="1"/>
        <v/>
      </c>
    </row>
    <row r="218" spans="1:22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50" t="str">
        <f t="shared" si="4"/>
        <v/>
      </c>
      <c r="U218" s="50"/>
      <c r="V218" s="22" t="str">
        <f t="shared" si="1"/>
        <v/>
      </c>
    </row>
    <row r="219" spans="1:22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50" t="str">
        <f t="shared" si="4"/>
        <v/>
      </c>
      <c r="U219" s="50"/>
      <c r="V219" s="22" t="str">
        <f t="shared" si="1"/>
        <v/>
      </c>
    </row>
    <row r="220" spans="1:22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50" t="str">
        <f t="shared" si="4"/>
        <v/>
      </c>
      <c r="U220" s="50"/>
      <c r="V220" s="22" t="str">
        <f t="shared" si="1"/>
        <v/>
      </c>
    </row>
    <row r="221" spans="1:22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50" t="str">
        <f t="shared" si="4"/>
        <v/>
      </c>
      <c r="U221" s="50"/>
      <c r="V221" s="22" t="str">
        <f t="shared" si="1"/>
        <v/>
      </c>
    </row>
    <row r="222" spans="1:22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50" t="str">
        <f t="shared" si="4"/>
        <v/>
      </c>
      <c r="U222" s="50"/>
      <c r="V222" s="22" t="str">
        <f t="shared" si="1"/>
        <v/>
      </c>
    </row>
    <row r="223" spans="1:22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50" t="str">
        <f t="shared" si="4"/>
        <v/>
      </c>
      <c r="U223" s="50"/>
      <c r="V223" s="22" t="str">
        <f t="shared" si="1"/>
        <v/>
      </c>
    </row>
    <row r="224" spans="1:22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50" t="str">
        <f t="shared" si="4"/>
        <v/>
      </c>
      <c r="U224" s="50"/>
      <c r="V224" s="22" t="str">
        <f t="shared" si="1"/>
        <v/>
      </c>
    </row>
    <row r="225" spans="1:22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50" t="str">
        <f t="shared" si="4"/>
        <v/>
      </c>
      <c r="U225" s="50"/>
      <c r="V225" s="22" t="str">
        <f t="shared" si="1"/>
        <v/>
      </c>
    </row>
    <row r="226" spans="1:22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50" t="str">
        <f t="shared" si="4"/>
        <v/>
      </c>
      <c r="U226" s="50"/>
      <c r="V226" s="22" t="str">
        <f t="shared" si="1"/>
        <v/>
      </c>
    </row>
    <row r="227" spans="1:22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50" t="str">
        <f t="shared" si="4"/>
        <v/>
      </c>
      <c r="U227" s="50"/>
      <c r="V227" s="22" t="str">
        <f t="shared" si="1"/>
        <v/>
      </c>
    </row>
    <row r="228" spans="1:22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50" t="str">
        <f t="shared" si="4"/>
        <v/>
      </c>
      <c r="U228" s="50"/>
      <c r="V228" s="22" t="str">
        <f t="shared" si="1"/>
        <v/>
      </c>
    </row>
    <row r="229" spans="1:22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50" t="str">
        <f t="shared" si="4"/>
        <v/>
      </c>
      <c r="U229" s="50"/>
      <c r="V229" s="22" t="str">
        <f t="shared" si="1"/>
        <v/>
      </c>
    </row>
    <row r="230" spans="1:22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50" t="str">
        <f t="shared" si="4"/>
        <v/>
      </c>
      <c r="U230" s="50"/>
      <c r="V230" s="22" t="str">
        <f t="shared" si="1"/>
        <v/>
      </c>
    </row>
    <row r="231" spans="1:22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50" t="str">
        <f t="shared" si="4"/>
        <v/>
      </c>
      <c r="U231" s="50"/>
      <c r="V231" s="22" t="str">
        <f t="shared" si="1"/>
        <v/>
      </c>
    </row>
    <row r="232" spans="1:22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50" t="str">
        <f t="shared" si="4"/>
        <v/>
      </c>
      <c r="U232" s="50"/>
      <c r="V232" s="22" t="str">
        <f t="shared" si="1"/>
        <v/>
      </c>
    </row>
    <row r="233" spans="1:22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50" t="str">
        <f t="shared" si="4"/>
        <v/>
      </c>
      <c r="U233" s="50"/>
      <c r="V233" s="22" t="str">
        <f t="shared" si="1"/>
        <v/>
      </c>
    </row>
    <row r="234" spans="1:22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50" t="str">
        <f t="shared" si="4"/>
        <v/>
      </c>
      <c r="U234" s="50"/>
      <c r="V234" s="22" t="str">
        <f t="shared" si="1"/>
        <v/>
      </c>
    </row>
    <row r="235" spans="1:22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50" t="str">
        <f t="shared" si="4"/>
        <v/>
      </c>
      <c r="U235" s="50"/>
      <c r="V235" s="22" t="str">
        <f t="shared" si="1"/>
        <v/>
      </c>
    </row>
    <row r="236" spans="1:22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50" t="str">
        <f t="shared" si="4"/>
        <v/>
      </c>
      <c r="U236" s="50"/>
      <c r="V236" s="22" t="str">
        <f t="shared" si="1"/>
        <v/>
      </c>
    </row>
    <row r="237" spans="1:22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50" t="str">
        <f t="shared" si="4"/>
        <v/>
      </c>
      <c r="U237" s="50"/>
      <c r="V237" s="22" t="str">
        <f t="shared" si="1"/>
        <v/>
      </c>
    </row>
    <row r="238" spans="1:22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50" t="str">
        <f t="shared" si="4"/>
        <v/>
      </c>
      <c r="U238" s="50"/>
      <c r="V238" s="22" t="str">
        <f t="shared" si="1"/>
        <v/>
      </c>
    </row>
    <row r="239" spans="1:22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50" t="str">
        <f t="shared" si="4"/>
        <v/>
      </c>
      <c r="U239" s="50"/>
      <c r="V239" s="22" t="str">
        <f t="shared" si="1"/>
        <v/>
      </c>
    </row>
    <row r="240" spans="1:22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50" t="str">
        <f t="shared" si="4"/>
        <v/>
      </c>
      <c r="U240" s="50"/>
      <c r="V240" s="22" t="str">
        <f t="shared" si="1"/>
        <v/>
      </c>
    </row>
    <row r="241" spans="1:22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50" t="str">
        <f t="shared" si="4"/>
        <v/>
      </c>
      <c r="U241" s="50"/>
      <c r="V241" s="22" t="str">
        <f t="shared" si="1"/>
        <v/>
      </c>
    </row>
    <row r="242" spans="1:22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50" t="str">
        <f t="shared" si="4"/>
        <v/>
      </c>
      <c r="U242" s="50"/>
      <c r="V242" s="22" t="str">
        <f t="shared" si="1"/>
        <v/>
      </c>
    </row>
    <row r="243" spans="1:22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50" t="str">
        <f t="shared" si="4"/>
        <v/>
      </c>
      <c r="U243" s="50"/>
      <c r="V243" s="22" t="str">
        <f t="shared" si="1"/>
        <v/>
      </c>
    </row>
    <row r="244" spans="1:22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50" t="str">
        <f t="shared" si="4"/>
        <v/>
      </c>
      <c r="U244" s="50"/>
      <c r="V244" s="22" t="str">
        <f t="shared" si="1"/>
        <v/>
      </c>
    </row>
    <row r="245" spans="1:22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50" t="str">
        <f t="shared" si="4"/>
        <v/>
      </c>
      <c r="U245" s="50"/>
      <c r="V245" s="22" t="str">
        <f t="shared" si="1"/>
        <v/>
      </c>
    </row>
    <row r="246" spans="1:22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50" t="str">
        <f t="shared" si="4"/>
        <v/>
      </c>
      <c r="U246" s="50"/>
      <c r="V246" s="22" t="str">
        <f t="shared" si="1"/>
        <v/>
      </c>
    </row>
    <row r="247" spans="1:22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50" t="str">
        <f t="shared" si="4"/>
        <v/>
      </c>
      <c r="U247" s="50"/>
      <c r="V247" s="22" t="str">
        <f t="shared" si="1"/>
        <v/>
      </c>
    </row>
    <row r="248" spans="1:22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50" t="str">
        <f t="shared" si="4"/>
        <v/>
      </c>
      <c r="U248" s="50"/>
      <c r="V248" s="22" t="str">
        <f t="shared" si="1"/>
        <v/>
      </c>
    </row>
    <row r="249" spans="1:22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50" t="str">
        <f t="shared" si="4"/>
        <v/>
      </c>
      <c r="U249" s="50"/>
      <c r="V249" s="22" t="str">
        <f t="shared" si="1"/>
        <v/>
      </c>
    </row>
    <row r="250" spans="1:22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50" t="str">
        <f t="shared" si="4"/>
        <v/>
      </c>
      <c r="U250" s="50"/>
      <c r="V250" s="22" t="str">
        <f t="shared" si="1"/>
        <v/>
      </c>
    </row>
    <row r="251" spans="1:22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50" t="str">
        <f t="shared" si="4"/>
        <v/>
      </c>
      <c r="U251" s="50"/>
      <c r="V251" s="22" t="str">
        <f t="shared" si="1"/>
        <v/>
      </c>
    </row>
    <row r="252" spans="1:22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50" t="str">
        <f t="shared" si="4"/>
        <v/>
      </c>
      <c r="U252" s="50"/>
      <c r="V252" s="22" t="str">
        <f t="shared" si="1"/>
        <v/>
      </c>
    </row>
    <row r="253" spans="1:22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50" t="str">
        <f t="shared" si="4"/>
        <v/>
      </c>
      <c r="U253" s="50"/>
      <c r="V253" s="22" t="str">
        <f t="shared" si="1"/>
        <v/>
      </c>
    </row>
    <row r="254" spans="1:22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50" t="str">
        <f t="shared" si="4"/>
        <v/>
      </c>
      <c r="U254" s="50"/>
      <c r="V254" s="22" t="str">
        <f t="shared" si="1"/>
        <v/>
      </c>
    </row>
    <row r="255" spans="1:22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50" t="str">
        <f t="shared" si="4"/>
        <v/>
      </c>
      <c r="U255" s="50"/>
      <c r="V255" s="22" t="str">
        <f t="shared" si="1"/>
        <v/>
      </c>
    </row>
    <row r="256" spans="1:22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50" t="str">
        <f t="shared" si="4"/>
        <v/>
      </c>
      <c r="U256" s="50"/>
      <c r="V256" s="22" t="str">
        <f t="shared" si="1"/>
        <v/>
      </c>
    </row>
    <row r="257" spans="1:22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50" t="str">
        <f t="shared" si="4"/>
        <v/>
      </c>
      <c r="U257" s="50"/>
      <c r="V257" s="22" t="str">
        <f t="shared" si="1"/>
        <v/>
      </c>
    </row>
    <row r="258" spans="1:22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50" t="str">
        <f t="shared" si="4"/>
        <v/>
      </c>
      <c r="U258" s="50"/>
      <c r="V258" s="22" t="str">
        <f t="shared" ref="V258:V512" si="5">IF(A258="","","TIPO 2")</f>
        <v/>
      </c>
    </row>
    <row r="259" spans="1:22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50" t="str">
        <f t="shared" ref="T259:T322" si="6">IF(A259="", "",IF(L259&gt;O259,"",NETWORKDAYS.INTL(L259,O259,1,FERIADOS)))</f>
        <v/>
      </c>
      <c r="U259" s="50"/>
      <c r="V259" s="22" t="str">
        <f t="shared" si="5"/>
        <v/>
      </c>
    </row>
    <row r="260" spans="1:22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50" t="str">
        <f t="shared" si="6"/>
        <v/>
      </c>
      <c r="U260" s="50"/>
      <c r="V260" s="22" t="str">
        <f t="shared" si="5"/>
        <v/>
      </c>
    </row>
    <row r="261" spans="1:22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50" t="str">
        <f t="shared" si="6"/>
        <v/>
      </c>
      <c r="U261" s="50"/>
      <c r="V261" s="22" t="str">
        <f t="shared" si="5"/>
        <v/>
      </c>
    </row>
    <row r="262" spans="1:22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50" t="str">
        <f t="shared" si="6"/>
        <v/>
      </c>
      <c r="U262" s="50"/>
      <c r="V262" s="22" t="str">
        <f t="shared" si="5"/>
        <v/>
      </c>
    </row>
    <row r="263" spans="1:22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50" t="str">
        <f t="shared" si="6"/>
        <v/>
      </c>
      <c r="U263" s="50"/>
      <c r="V263" s="22" t="str">
        <f t="shared" si="5"/>
        <v/>
      </c>
    </row>
    <row r="264" spans="1:22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50" t="str">
        <f t="shared" si="6"/>
        <v/>
      </c>
      <c r="U264" s="50"/>
      <c r="V264" s="22" t="str">
        <f t="shared" si="5"/>
        <v/>
      </c>
    </row>
    <row r="265" spans="1:22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50" t="str">
        <f t="shared" si="6"/>
        <v/>
      </c>
      <c r="U265" s="50"/>
      <c r="V265" s="22" t="str">
        <f t="shared" si="5"/>
        <v/>
      </c>
    </row>
    <row r="266" spans="1:22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50" t="str">
        <f t="shared" si="6"/>
        <v/>
      </c>
      <c r="U266" s="50"/>
      <c r="V266" s="22" t="str">
        <f t="shared" si="5"/>
        <v/>
      </c>
    </row>
    <row r="267" spans="1:22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50" t="str">
        <f t="shared" si="6"/>
        <v/>
      </c>
      <c r="U267" s="50"/>
      <c r="V267" s="22" t="str">
        <f t="shared" si="5"/>
        <v/>
      </c>
    </row>
    <row r="268" spans="1:22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50" t="str">
        <f t="shared" si="6"/>
        <v/>
      </c>
      <c r="U268" s="50"/>
      <c r="V268" s="22" t="str">
        <f t="shared" si="5"/>
        <v/>
      </c>
    </row>
    <row r="269" spans="1:22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50" t="str">
        <f t="shared" si="6"/>
        <v/>
      </c>
      <c r="U269" s="50"/>
      <c r="V269" s="22" t="str">
        <f t="shared" si="5"/>
        <v/>
      </c>
    </row>
    <row r="270" spans="1:22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50" t="str">
        <f t="shared" si="6"/>
        <v/>
      </c>
      <c r="U270" s="50"/>
      <c r="V270" s="22" t="str">
        <f t="shared" si="5"/>
        <v/>
      </c>
    </row>
    <row r="271" spans="1:22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50" t="str">
        <f t="shared" si="6"/>
        <v/>
      </c>
      <c r="U271" s="50"/>
      <c r="V271" s="22" t="str">
        <f t="shared" si="5"/>
        <v/>
      </c>
    </row>
    <row r="272" spans="1:22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50" t="str">
        <f t="shared" si="6"/>
        <v/>
      </c>
      <c r="U272" s="50"/>
      <c r="V272" s="22" t="str">
        <f t="shared" si="5"/>
        <v/>
      </c>
    </row>
    <row r="273" spans="1:22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50" t="str">
        <f t="shared" si="6"/>
        <v/>
      </c>
      <c r="U273" s="50"/>
      <c r="V273" s="22" t="str">
        <f t="shared" si="5"/>
        <v/>
      </c>
    </row>
    <row r="274" spans="1:22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50" t="str">
        <f t="shared" si="6"/>
        <v/>
      </c>
      <c r="U274" s="50"/>
      <c r="V274" s="22" t="str">
        <f t="shared" si="5"/>
        <v/>
      </c>
    </row>
    <row r="275" spans="1:22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50" t="str">
        <f t="shared" si="6"/>
        <v/>
      </c>
      <c r="U275" s="50"/>
      <c r="V275" s="22" t="str">
        <f t="shared" si="5"/>
        <v/>
      </c>
    </row>
    <row r="276" spans="1:22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50" t="str">
        <f t="shared" si="6"/>
        <v/>
      </c>
      <c r="U276" s="50"/>
      <c r="V276" s="22" t="str">
        <f t="shared" si="5"/>
        <v/>
      </c>
    </row>
    <row r="277" spans="1:22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50" t="str">
        <f t="shared" si="6"/>
        <v/>
      </c>
      <c r="U277" s="50"/>
      <c r="V277" s="22" t="str">
        <f t="shared" si="5"/>
        <v/>
      </c>
    </row>
    <row r="278" spans="1:22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50" t="str">
        <f t="shared" si="6"/>
        <v/>
      </c>
      <c r="U278" s="50"/>
      <c r="V278" s="22" t="str">
        <f t="shared" si="5"/>
        <v/>
      </c>
    </row>
    <row r="279" spans="1:22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50" t="str">
        <f t="shared" si="6"/>
        <v/>
      </c>
      <c r="U279" s="50"/>
      <c r="V279" s="22" t="str">
        <f t="shared" si="5"/>
        <v/>
      </c>
    </row>
    <row r="280" spans="1:22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50" t="str">
        <f t="shared" si="6"/>
        <v/>
      </c>
      <c r="U280" s="50"/>
      <c r="V280" s="22" t="str">
        <f t="shared" si="5"/>
        <v/>
      </c>
    </row>
    <row r="281" spans="1:22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50" t="str">
        <f t="shared" si="6"/>
        <v/>
      </c>
      <c r="U281" s="50"/>
      <c r="V281" s="22" t="str">
        <f t="shared" si="5"/>
        <v/>
      </c>
    </row>
    <row r="282" spans="1:22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50" t="str">
        <f t="shared" si="6"/>
        <v/>
      </c>
      <c r="U282" s="50"/>
      <c r="V282" s="22" t="str">
        <f t="shared" si="5"/>
        <v/>
      </c>
    </row>
    <row r="283" spans="1:22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50" t="str">
        <f t="shared" si="6"/>
        <v/>
      </c>
      <c r="U283" s="50"/>
      <c r="V283" s="22" t="str">
        <f t="shared" si="5"/>
        <v/>
      </c>
    </row>
    <row r="284" spans="1:22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50" t="str">
        <f t="shared" si="6"/>
        <v/>
      </c>
      <c r="U284" s="50"/>
      <c r="V284" s="22" t="str">
        <f t="shared" si="5"/>
        <v/>
      </c>
    </row>
    <row r="285" spans="1:22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50" t="str">
        <f t="shared" si="6"/>
        <v/>
      </c>
      <c r="U285" s="50"/>
      <c r="V285" s="22" t="str">
        <f t="shared" si="5"/>
        <v/>
      </c>
    </row>
    <row r="286" spans="1:22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50" t="str">
        <f t="shared" si="6"/>
        <v/>
      </c>
      <c r="U286" s="50"/>
      <c r="V286" s="22" t="str">
        <f t="shared" si="5"/>
        <v/>
      </c>
    </row>
    <row r="287" spans="1:22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50" t="str">
        <f t="shared" si="6"/>
        <v/>
      </c>
      <c r="U287" s="50"/>
      <c r="V287" s="22" t="str">
        <f t="shared" si="5"/>
        <v/>
      </c>
    </row>
    <row r="288" spans="1:22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50" t="str">
        <f t="shared" si="6"/>
        <v/>
      </c>
      <c r="U288" s="50"/>
      <c r="V288" s="22" t="str">
        <f t="shared" si="5"/>
        <v/>
      </c>
    </row>
    <row r="289" spans="1:22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50" t="str">
        <f t="shared" si="6"/>
        <v/>
      </c>
      <c r="U289" s="50"/>
      <c r="V289" s="22" t="str">
        <f t="shared" si="5"/>
        <v/>
      </c>
    </row>
    <row r="290" spans="1:22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50" t="str">
        <f t="shared" si="6"/>
        <v/>
      </c>
      <c r="U290" s="50"/>
      <c r="V290" s="22" t="str">
        <f t="shared" si="5"/>
        <v/>
      </c>
    </row>
    <row r="291" spans="1:22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50" t="str">
        <f t="shared" si="6"/>
        <v/>
      </c>
      <c r="U291" s="50"/>
      <c r="V291" s="22" t="str">
        <f t="shared" si="5"/>
        <v/>
      </c>
    </row>
    <row r="292" spans="1:22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50" t="str">
        <f t="shared" si="6"/>
        <v/>
      </c>
      <c r="U292" s="50"/>
      <c r="V292" s="22" t="str">
        <f t="shared" si="5"/>
        <v/>
      </c>
    </row>
    <row r="293" spans="1:22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50" t="str">
        <f t="shared" si="6"/>
        <v/>
      </c>
      <c r="U293" s="50"/>
      <c r="V293" s="22" t="str">
        <f t="shared" si="5"/>
        <v/>
      </c>
    </row>
    <row r="294" spans="1:22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50" t="str">
        <f t="shared" si="6"/>
        <v/>
      </c>
      <c r="U294" s="50"/>
      <c r="V294" s="22" t="str">
        <f t="shared" si="5"/>
        <v/>
      </c>
    </row>
    <row r="295" spans="1:22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50" t="str">
        <f t="shared" si="6"/>
        <v/>
      </c>
      <c r="U295" s="50"/>
      <c r="V295" s="22" t="str">
        <f t="shared" si="5"/>
        <v/>
      </c>
    </row>
    <row r="296" spans="1:22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50" t="str">
        <f t="shared" si="6"/>
        <v/>
      </c>
      <c r="U296" s="50"/>
      <c r="V296" s="22" t="str">
        <f t="shared" si="5"/>
        <v/>
      </c>
    </row>
    <row r="297" spans="1:22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50" t="str">
        <f t="shared" si="6"/>
        <v/>
      </c>
      <c r="U297" s="50"/>
      <c r="V297" s="22" t="str">
        <f t="shared" si="5"/>
        <v/>
      </c>
    </row>
    <row r="298" spans="1:22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50" t="str">
        <f t="shared" si="6"/>
        <v/>
      </c>
      <c r="U298" s="50"/>
      <c r="V298" s="22" t="str">
        <f t="shared" si="5"/>
        <v/>
      </c>
    </row>
    <row r="299" spans="1:22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50" t="str">
        <f t="shared" si="6"/>
        <v/>
      </c>
      <c r="U299" s="50"/>
      <c r="V299" s="22" t="str">
        <f t="shared" si="5"/>
        <v/>
      </c>
    </row>
    <row r="300" spans="1:22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50" t="str">
        <f t="shared" si="6"/>
        <v/>
      </c>
      <c r="U300" s="50"/>
      <c r="V300" s="22" t="str">
        <f t="shared" si="5"/>
        <v/>
      </c>
    </row>
    <row r="301" spans="1:22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50" t="str">
        <f t="shared" si="6"/>
        <v/>
      </c>
      <c r="U301" s="50"/>
      <c r="V301" s="22" t="str">
        <f t="shared" si="5"/>
        <v/>
      </c>
    </row>
    <row r="302" spans="1:22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50" t="str">
        <f t="shared" si="6"/>
        <v/>
      </c>
      <c r="U302" s="50"/>
      <c r="V302" s="22" t="str">
        <f t="shared" si="5"/>
        <v/>
      </c>
    </row>
    <row r="303" spans="1:22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50" t="str">
        <f t="shared" si="6"/>
        <v/>
      </c>
      <c r="U303" s="50"/>
      <c r="V303" s="22" t="str">
        <f t="shared" si="5"/>
        <v/>
      </c>
    </row>
    <row r="304" spans="1:22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50" t="str">
        <f t="shared" si="6"/>
        <v/>
      </c>
      <c r="U304" s="50"/>
      <c r="V304" s="22" t="str">
        <f t="shared" si="5"/>
        <v/>
      </c>
    </row>
    <row r="305" spans="1:22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50" t="str">
        <f t="shared" si="6"/>
        <v/>
      </c>
      <c r="U305" s="50"/>
      <c r="V305" s="22" t="str">
        <f t="shared" si="5"/>
        <v/>
      </c>
    </row>
    <row r="306" spans="1:22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50" t="str">
        <f t="shared" si="6"/>
        <v/>
      </c>
      <c r="U306" s="50"/>
      <c r="V306" s="22" t="str">
        <f t="shared" si="5"/>
        <v/>
      </c>
    </row>
    <row r="307" spans="1:22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50" t="str">
        <f t="shared" si="6"/>
        <v/>
      </c>
      <c r="U307" s="50"/>
      <c r="V307" s="22" t="str">
        <f t="shared" si="5"/>
        <v/>
      </c>
    </row>
    <row r="308" spans="1:22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50" t="str">
        <f t="shared" si="6"/>
        <v/>
      </c>
      <c r="U308" s="50"/>
      <c r="V308" s="22" t="str">
        <f t="shared" si="5"/>
        <v/>
      </c>
    </row>
    <row r="309" spans="1:22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50" t="str">
        <f t="shared" si="6"/>
        <v/>
      </c>
      <c r="U309" s="50"/>
      <c r="V309" s="22" t="str">
        <f t="shared" si="5"/>
        <v/>
      </c>
    </row>
    <row r="310" spans="1:22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50" t="str">
        <f t="shared" si="6"/>
        <v/>
      </c>
      <c r="U310" s="50"/>
      <c r="V310" s="22" t="str">
        <f t="shared" si="5"/>
        <v/>
      </c>
    </row>
    <row r="311" spans="1:22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50" t="str">
        <f t="shared" si="6"/>
        <v/>
      </c>
      <c r="U311" s="50"/>
      <c r="V311" s="22" t="str">
        <f t="shared" si="5"/>
        <v/>
      </c>
    </row>
    <row r="312" spans="1:22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50" t="str">
        <f t="shared" si="6"/>
        <v/>
      </c>
      <c r="U312" s="50"/>
      <c r="V312" s="22" t="str">
        <f t="shared" si="5"/>
        <v/>
      </c>
    </row>
    <row r="313" spans="1:22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50" t="str">
        <f t="shared" si="6"/>
        <v/>
      </c>
      <c r="U313" s="50"/>
      <c r="V313" s="22" t="str">
        <f t="shared" si="5"/>
        <v/>
      </c>
    </row>
    <row r="314" spans="1:22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50" t="str">
        <f t="shared" si="6"/>
        <v/>
      </c>
      <c r="U314" s="50"/>
      <c r="V314" s="22" t="str">
        <f t="shared" si="5"/>
        <v/>
      </c>
    </row>
    <row r="315" spans="1:22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50" t="str">
        <f t="shared" si="6"/>
        <v/>
      </c>
      <c r="U315" s="50"/>
      <c r="V315" s="22" t="str">
        <f t="shared" si="5"/>
        <v/>
      </c>
    </row>
    <row r="316" spans="1:22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50" t="str">
        <f t="shared" si="6"/>
        <v/>
      </c>
      <c r="U316" s="50"/>
      <c r="V316" s="22" t="str">
        <f t="shared" si="5"/>
        <v/>
      </c>
    </row>
    <row r="317" spans="1:22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50" t="str">
        <f t="shared" si="6"/>
        <v/>
      </c>
      <c r="U317" s="50"/>
      <c r="V317" s="22" t="str">
        <f t="shared" si="5"/>
        <v/>
      </c>
    </row>
    <row r="318" spans="1:22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50" t="str">
        <f t="shared" si="6"/>
        <v/>
      </c>
      <c r="U318" s="50"/>
      <c r="V318" s="22" t="str">
        <f t="shared" si="5"/>
        <v/>
      </c>
    </row>
    <row r="319" spans="1:22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50" t="str">
        <f t="shared" si="6"/>
        <v/>
      </c>
      <c r="U319" s="50"/>
      <c r="V319" s="22" t="str">
        <f t="shared" si="5"/>
        <v/>
      </c>
    </row>
    <row r="320" spans="1:22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50" t="str">
        <f t="shared" si="6"/>
        <v/>
      </c>
      <c r="U320" s="50"/>
      <c r="V320" s="22" t="str">
        <f t="shared" si="5"/>
        <v/>
      </c>
    </row>
    <row r="321" spans="1:22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50" t="str">
        <f t="shared" si="6"/>
        <v/>
      </c>
      <c r="U321" s="50"/>
      <c r="V321" s="22" t="str">
        <f t="shared" si="5"/>
        <v/>
      </c>
    </row>
    <row r="322" spans="1:22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50" t="str">
        <f t="shared" si="6"/>
        <v/>
      </c>
      <c r="U322" s="50"/>
      <c r="V322" s="22" t="str">
        <f t="shared" si="5"/>
        <v/>
      </c>
    </row>
    <row r="323" spans="1:22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50" t="str">
        <f t="shared" ref="T323:T386" si="7">IF(A323="", "",IF(L323&gt;O323,"",NETWORKDAYS.INTL(L323,O323,1,FERIADOS)))</f>
        <v/>
      </c>
      <c r="U323" s="50"/>
      <c r="V323" s="22" t="str">
        <f t="shared" si="5"/>
        <v/>
      </c>
    </row>
    <row r="324" spans="1:22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50" t="str">
        <f t="shared" si="7"/>
        <v/>
      </c>
      <c r="U324" s="50"/>
      <c r="V324" s="22" t="str">
        <f t="shared" si="5"/>
        <v/>
      </c>
    </row>
    <row r="325" spans="1:22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50" t="str">
        <f t="shared" si="7"/>
        <v/>
      </c>
      <c r="U325" s="50"/>
      <c r="V325" s="22" t="str">
        <f t="shared" si="5"/>
        <v/>
      </c>
    </row>
    <row r="326" spans="1:22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50" t="str">
        <f t="shared" si="7"/>
        <v/>
      </c>
      <c r="U326" s="50"/>
      <c r="V326" s="22" t="str">
        <f t="shared" si="5"/>
        <v/>
      </c>
    </row>
    <row r="327" spans="1:22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50" t="str">
        <f t="shared" si="7"/>
        <v/>
      </c>
      <c r="U327" s="50"/>
      <c r="V327" s="22" t="str">
        <f t="shared" si="5"/>
        <v/>
      </c>
    </row>
    <row r="328" spans="1:22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50" t="str">
        <f t="shared" si="7"/>
        <v/>
      </c>
      <c r="U328" s="50"/>
      <c r="V328" s="22" t="str">
        <f t="shared" si="5"/>
        <v/>
      </c>
    </row>
    <row r="329" spans="1:22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50" t="str">
        <f t="shared" si="7"/>
        <v/>
      </c>
      <c r="U329" s="50"/>
      <c r="V329" s="22" t="str">
        <f t="shared" si="5"/>
        <v/>
      </c>
    </row>
    <row r="330" spans="1:22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50" t="str">
        <f t="shared" si="7"/>
        <v/>
      </c>
      <c r="U330" s="50"/>
      <c r="V330" s="22" t="str">
        <f t="shared" si="5"/>
        <v/>
      </c>
    </row>
    <row r="331" spans="1:22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50" t="str">
        <f t="shared" si="7"/>
        <v/>
      </c>
      <c r="U331" s="50"/>
      <c r="V331" s="22" t="str">
        <f t="shared" si="5"/>
        <v/>
      </c>
    </row>
    <row r="332" spans="1:22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50" t="str">
        <f t="shared" si="7"/>
        <v/>
      </c>
      <c r="U332" s="50"/>
      <c r="V332" s="22" t="str">
        <f t="shared" si="5"/>
        <v/>
      </c>
    </row>
    <row r="333" spans="1:22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50" t="str">
        <f t="shared" si="7"/>
        <v/>
      </c>
      <c r="U333" s="50"/>
      <c r="V333" s="22" t="str">
        <f t="shared" si="5"/>
        <v/>
      </c>
    </row>
    <row r="334" spans="1:22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50" t="str">
        <f t="shared" si="7"/>
        <v/>
      </c>
      <c r="U334" s="50"/>
      <c r="V334" s="22" t="str">
        <f t="shared" si="5"/>
        <v/>
      </c>
    </row>
    <row r="335" spans="1:22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50" t="str">
        <f t="shared" si="7"/>
        <v/>
      </c>
      <c r="U335" s="50"/>
      <c r="V335" s="22" t="str">
        <f t="shared" si="5"/>
        <v/>
      </c>
    </row>
    <row r="336" spans="1:22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50" t="str">
        <f t="shared" si="7"/>
        <v/>
      </c>
      <c r="U336" s="50"/>
      <c r="V336" s="22" t="str">
        <f t="shared" si="5"/>
        <v/>
      </c>
    </row>
    <row r="337" spans="1:22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50" t="str">
        <f t="shared" si="7"/>
        <v/>
      </c>
      <c r="U337" s="50"/>
      <c r="V337" s="22" t="str">
        <f t="shared" si="5"/>
        <v/>
      </c>
    </row>
    <row r="338" spans="1:22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50" t="str">
        <f t="shared" si="7"/>
        <v/>
      </c>
      <c r="U338" s="50"/>
      <c r="V338" s="22" t="str">
        <f t="shared" si="5"/>
        <v/>
      </c>
    </row>
    <row r="339" spans="1:22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50" t="str">
        <f t="shared" si="7"/>
        <v/>
      </c>
      <c r="U339" s="50"/>
      <c r="V339" s="22" t="str">
        <f t="shared" si="5"/>
        <v/>
      </c>
    </row>
    <row r="340" spans="1:22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50" t="str">
        <f t="shared" si="7"/>
        <v/>
      </c>
      <c r="U340" s="50"/>
      <c r="V340" s="22" t="str">
        <f t="shared" si="5"/>
        <v/>
      </c>
    </row>
    <row r="341" spans="1:22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50" t="str">
        <f t="shared" si="7"/>
        <v/>
      </c>
      <c r="U341" s="50"/>
      <c r="V341" s="22" t="str">
        <f t="shared" si="5"/>
        <v/>
      </c>
    </row>
    <row r="342" spans="1:22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50" t="str">
        <f t="shared" si="7"/>
        <v/>
      </c>
      <c r="U342" s="50"/>
      <c r="V342" s="22" t="str">
        <f t="shared" si="5"/>
        <v/>
      </c>
    </row>
    <row r="343" spans="1:22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50" t="str">
        <f t="shared" si="7"/>
        <v/>
      </c>
      <c r="U343" s="50"/>
      <c r="V343" s="22" t="str">
        <f t="shared" si="5"/>
        <v/>
      </c>
    </row>
    <row r="344" spans="1:22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50" t="str">
        <f t="shared" si="7"/>
        <v/>
      </c>
      <c r="U344" s="50"/>
      <c r="V344" s="22" t="str">
        <f t="shared" si="5"/>
        <v/>
      </c>
    </row>
    <row r="345" spans="1:22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50" t="str">
        <f t="shared" si="7"/>
        <v/>
      </c>
      <c r="U345" s="50"/>
      <c r="V345" s="22" t="str">
        <f t="shared" si="5"/>
        <v/>
      </c>
    </row>
    <row r="346" spans="1:22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50" t="str">
        <f t="shared" si="7"/>
        <v/>
      </c>
      <c r="U346" s="50"/>
      <c r="V346" s="22" t="str">
        <f t="shared" si="5"/>
        <v/>
      </c>
    </row>
    <row r="347" spans="1:22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50" t="str">
        <f t="shared" si="7"/>
        <v/>
      </c>
      <c r="U347" s="50"/>
      <c r="V347" s="22" t="str">
        <f t="shared" si="5"/>
        <v/>
      </c>
    </row>
    <row r="348" spans="1:22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50" t="str">
        <f t="shared" si="7"/>
        <v/>
      </c>
      <c r="U348" s="50"/>
      <c r="V348" s="22" t="str">
        <f t="shared" si="5"/>
        <v/>
      </c>
    </row>
    <row r="349" spans="1:22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50" t="str">
        <f t="shared" si="7"/>
        <v/>
      </c>
      <c r="U349" s="50"/>
      <c r="V349" s="22" t="str">
        <f t="shared" si="5"/>
        <v/>
      </c>
    </row>
    <row r="350" spans="1:22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50" t="str">
        <f t="shared" si="7"/>
        <v/>
      </c>
      <c r="U350" s="50"/>
      <c r="V350" s="22" t="str">
        <f t="shared" si="5"/>
        <v/>
      </c>
    </row>
    <row r="351" spans="1:22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50" t="str">
        <f t="shared" si="7"/>
        <v/>
      </c>
      <c r="U351" s="50"/>
      <c r="V351" s="22" t="str">
        <f t="shared" si="5"/>
        <v/>
      </c>
    </row>
    <row r="352" spans="1:22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50" t="str">
        <f t="shared" si="7"/>
        <v/>
      </c>
      <c r="U352" s="50"/>
      <c r="V352" s="22" t="str">
        <f t="shared" si="5"/>
        <v/>
      </c>
    </row>
    <row r="353" spans="1:22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50" t="str">
        <f t="shared" si="7"/>
        <v/>
      </c>
      <c r="U353" s="50"/>
      <c r="V353" s="22" t="str">
        <f t="shared" si="5"/>
        <v/>
      </c>
    </row>
    <row r="354" spans="1:22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50" t="str">
        <f t="shared" si="7"/>
        <v/>
      </c>
      <c r="U354" s="50"/>
      <c r="V354" s="22" t="str">
        <f t="shared" si="5"/>
        <v/>
      </c>
    </row>
    <row r="355" spans="1:22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50" t="str">
        <f t="shared" si="7"/>
        <v/>
      </c>
      <c r="U355" s="50"/>
      <c r="V355" s="22" t="str">
        <f t="shared" si="5"/>
        <v/>
      </c>
    </row>
    <row r="356" spans="1:22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50" t="str">
        <f t="shared" si="7"/>
        <v/>
      </c>
      <c r="U356" s="50"/>
      <c r="V356" s="22" t="str">
        <f t="shared" si="5"/>
        <v/>
      </c>
    </row>
    <row r="357" spans="1:22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50" t="str">
        <f t="shared" si="7"/>
        <v/>
      </c>
      <c r="U357" s="50"/>
      <c r="V357" s="22" t="str">
        <f t="shared" si="5"/>
        <v/>
      </c>
    </row>
    <row r="358" spans="1:22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50" t="str">
        <f t="shared" si="7"/>
        <v/>
      </c>
      <c r="U358" s="50"/>
      <c r="V358" s="22" t="str">
        <f t="shared" si="5"/>
        <v/>
      </c>
    </row>
    <row r="359" spans="1:22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50" t="str">
        <f t="shared" si="7"/>
        <v/>
      </c>
      <c r="U359" s="50"/>
      <c r="V359" s="22" t="str">
        <f t="shared" si="5"/>
        <v/>
      </c>
    </row>
    <row r="360" spans="1:22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50" t="str">
        <f t="shared" si="7"/>
        <v/>
      </c>
      <c r="U360" s="50"/>
      <c r="V360" s="22" t="str">
        <f t="shared" si="5"/>
        <v/>
      </c>
    </row>
    <row r="361" spans="1:22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50" t="str">
        <f t="shared" si="7"/>
        <v/>
      </c>
      <c r="U361" s="50"/>
      <c r="V361" s="22" t="str">
        <f t="shared" si="5"/>
        <v/>
      </c>
    </row>
    <row r="362" spans="1:22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50" t="str">
        <f t="shared" si="7"/>
        <v/>
      </c>
      <c r="U362" s="50"/>
      <c r="V362" s="22" t="str">
        <f t="shared" si="5"/>
        <v/>
      </c>
    </row>
    <row r="363" spans="1:22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50" t="str">
        <f t="shared" si="7"/>
        <v/>
      </c>
      <c r="U363" s="50"/>
      <c r="V363" s="22" t="str">
        <f t="shared" si="5"/>
        <v/>
      </c>
    </row>
    <row r="364" spans="1:22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50" t="str">
        <f t="shared" si="7"/>
        <v/>
      </c>
      <c r="U364" s="50"/>
      <c r="V364" s="22" t="str">
        <f t="shared" si="5"/>
        <v/>
      </c>
    </row>
    <row r="365" spans="1:22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50" t="str">
        <f t="shared" si="7"/>
        <v/>
      </c>
      <c r="U365" s="50"/>
      <c r="V365" s="22" t="str">
        <f t="shared" si="5"/>
        <v/>
      </c>
    </row>
    <row r="366" spans="1:22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50" t="str">
        <f t="shared" si="7"/>
        <v/>
      </c>
      <c r="U366" s="50"/>
      <c r="V366" s="22" t="str">
        <f t="shared" si="5"/>
        <v/>
      </c>
    </row>
    <row r="367" spans="1:22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50" t="str">
        <f t="shared" si="7"/>
        <v/>
      </c>
      <c r="U367" s="50"/>
      <c r="V367" s="22" t="str">
        <f t="shared" si="5"/>
        <v/>
      </c>
    </row>
    <row r="368" spans="1:22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50" t="str">
        <f t="shared" si="7"/>
        <v/>
      </c>
      <c r="U368" s="50"/>
      <c r="V368" s="22" t="str">
        <f t="shared" si="5"/>
        <v/>
      </c>
    </row>
    <row r="369" spans="1:22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50" t="str">
        <f t="shared" si="7"/>
        <v/>
      </c>
      <c r="U369" s="50"/>
      <c r="V369" s="22" t="str">
        <f t="shared" si="5"/>
        <v/>
      </c>
    </row>
    <row r="370" spans="1:22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50" t="str">
        <f t="shared" si="7"/>
        <v/>
      </c>
      <c r="U370" s="50"/>
      <c r="V370" s="22" t="str">
        <f t="shared" si="5"/>
        <v/>
      </c>
    </row>
    <row r="371" spans="1:22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50" t="str">
        <f t="shared" si="7"/>
        <v/>
      </c>
      <c r="U371" s="50"/>
      <c r="V371" s="22" t="str">
        <f t="shared" si="5"/>
        <v/>
      </c>
    </row>
    <row r="372" spans="1:22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50" t="str">
        <f t="shared" si="7"/>
        <v/>
      </c>
      <c r="U372" s="50"/>
      <c r="V372" s="22" t="str">
        <f t="shared" si="5"/>
        <v/>
      </c>
    </row>
    <row r="373" spans="1:22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50" t="str">
        <f t="shared" si="7"/>
        <v/>
      </c>
      <c r="U373" s="50"/>
      <c r="V373" s="22" t="str">
        <f t="shared" si="5"/>
        <v/>
      </c>
    </row>
    <row r="374" spans="1:22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50" t="str">
        <f t="shared" si="7"/>
        <v/>
      </c>
      <c r="U374" s="50"/>
      <c r="V374" s="22" t="str">
        <f t="shared" si="5"/>
        <v/>
      </c>
    </row>
    <row r="375" spans="1:22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50" t="str">
        <f t="shared" si="7"/>
        <v/>
      </c>
      <c r="U375" s="50"/>
      <c r="V375" s="22" t="str">
        <f t="shared" si="5"/>
        <v/>
      </c>
    </row>
    <row r="376" spans="1:22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50" t="str">
        <f t="shared" si="7"/>
        <v/>
      </c>
      <c r="U376" s="50"/>
      <c r="V376" s="22" t="str">
        <f t="shared" si="5"/>
        <v/>
      </c>
    </row>
    <row r="377" spans="1:22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50" t="str">
        <f t="shared" si="7"/>
        <v/>
      </c>
      <c r="U377" s="50"/>
      <c r="V377" s="22" t="str">
        <f t="shared" si="5"/>
        <v/>
      </c>
    </row>
    <row r="378" spans="1:22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50" t="str">
        <f t="shared" si="7"/>
        <v/>
      </c>
      <c r="U378" s="50"/>
      <c r="V378" s="22" t="str">
        <f t="shared" si="5"/>
        <v/>
      </c>
    </row>
    <row r="379" spans="1:22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50" t="str">
        <f t="shared" si="7"/>
        <v/>
      </c>
      <c r="U379" s="50"/>
      <c r="V379" s="22" t="str">
        <f t="shared" si="5"/>
        <v/>
      </c>
    </row>
    <row r="380" spans="1:22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50" t="str">
        <f t="shared" si="7"/>
        <v/>
      </c>
      <c r="U380" s="50"/>
      <c r="V380" s="22" t="str">
        <f t="shared" si="5"/>
        <v/>
      </c>
    </row>
    <row r="381" spans="1:22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50" t="str">
        <f t="shared" si="7"/>
        <v/>
      </c>
      <c r="U381" s="50"/>
      <c r="V381" s="22" t="str">
        <f t="shared" si="5"/>
        <v/>
      </c>
    </row>
    <row r="382" spans="1:22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50" t="str">
        <f t="shared" si="7"/>
        <v/>
      </c>
      <c r="U382" s="50"/>
      <c r="V382" s="22" t="str">
        <f t="shared" si="5"/>
        <v/>
      </c>
    </row>
    <row r="383" spans="1:22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50" t="str">
        <f t="shared" si="7"/>
        <v/>
      </c>
      <c r="U383" s="50"/>
      <c r="V383" s="22" t="str">
        <f t="shared" si="5"/>
        <v/>
      </c>
    </row>
    <row r="384" spans="1:22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50" t="str">
        <f t="shared" si="7"/>
        <v/>
      </c>
      <c r="U384" s="50"/>
      <c r="V384" s="22" t="str">
        <f t="shared" si="5"/>
        <v/>
      </c>
    </row>
    <row r="385" spans="1:22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50" t="str">
        <f t="shared" si="7"/>
        <v/>
      </c>
      <c r="U385" s="50"/>
      <c r="V385" s="22" t="str">
        <f t="shared" si="5"/>
        <v/>
      </c>
    </row>
    <row r="386" spans="1:22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50" t="str">
        <f t="shared" si="7"/>
        <v/>
      </c>
      <c r="U386" s="50"/>
      <c r="V386" s="22" t="str">
        <f t="shared" si="5"/>
        <v/>
      </c>
    </row>
    <row r="387" spans="1:22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50" t="str">
        <f t="shared" ref="T387:T450" si="8">IF(A387="", "",IF(L387&gt;O387,"",NETWORKDAYS.INTL(L387,O387,1,FERIADOS)))</f>
        <v/>
      </c>
      <c r="U387" s="50"/>
      <c r="V387" s="22" t="str">
        <f t="shared" si="5"/>
        <v/>
      </c>
    </row>
    <row r="388" spans="1:22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50" t="str">
        <f t="shared" si="8"/>
        <v/>
      </c>
      <c r="U388" s="50"/>
      <c r="V388" s="22" t="str">
        <f t="shared" si="5"/>
        <v/>
      </c>
    </row>
    <row r="389" spans="1:22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50" t="str">
        <f t="shared" si="8"/>
        <v/>
      </c>
      <c r="U389" s="50"/>
      <c r="V389" s="22" t="str">
        <f t="shared" si="5"/>
        <v/>
      </c>
    </row>
    <row r="390" spans="1:22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50" t="str">
        <f t="shared" si="8"/>
        <v/>
      </c>
      <c r="U390" s="50"/>
      <c r="V390" s="22" t="str">
        <f t="shared" si="5"/>
        <v/>
      </c>
    </row>
    <row r="391" spans="1:22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50" t="str">
        <f t="shared" si="8"/>
        <v/>
      </c>
      <c r="U391" s="50"/>
      <c r="V391" s="22" t="str">
        <f t="shared" si="5"/>
        <v/>
      </c>
    </row>
    <row r="392" spans="1:22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50" t="str">
        <f t="shared" si="8"/>
        <v/>
      </c>
      <c r="U392" s="50"/>
      <c r="V392" s="22" t="str">
        <f t="shared" si="5"/>
        <v/>
      </c>
    </row>
    <row r="393" spans="1:22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50" t="str">
        <f t="shared" si="8"/>
        <v/>
      </c>
      <c r="U393" s="50"/>
      <c r="V393" s="22" t="str">
        <f t="shared" si="5"/>
        <v/>
      </c>
    </row>
    <row r="394" spans="1:22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50" t="str">
        <f t="shared" si="8"/>
        <v/>
      </c>
      <c r="U394" s="50"/>
      <c r="V394" s="22" t="str">
        <f t="shared" si="5"/>
        <v/>
      </c>
    </row>
    <row r="395" spans="1:22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50" t="str">
        <f t="shared" si="8"/>
        <v/>
      </c>
      <c r="U395" s="50"/>
      <c r="V395" s="22" t="str">
        <f t="shared" si="5"/>
        <v/>
      </c>
    </row>
    <row r="396" spans="1:22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50" t="str">
        <f t="shared" si="8"/>
        <v/>
      </c>
      <c r="U396" s="50"/>
      <c r="V396" s="22" t="str">
        <f t="shared" si="5"/>
        <v/>
      </c>
    </row>
    <row r="397" spans="1:22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50" t="str">
        <f t="shared" si="8"/>
        <v/>
      </c>
      <c r="U397" s="50"/>
      <c r="V397" s="22" t="str">
        <f t="shared" si="5"/>
        <v/>
      </c>
    </row>
    <row r="398" spans="1:22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50" t="str">
        <f t="shared" si="8"/>
        <v/>
      </c>
      <c r="U398" s="50"/>
      <c r="V398" s="22" t="str">
        <f t="shared" si="5"/>
        <v/>
      </c>
    </row>
    <row r="399" spans="1:22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50" t="str">
        <f t="shared" si="8"/>
        <v/>
      </c>
      <c r="U399" s="50"/>
      <c r="V399" s="22" t="str">
        <f t="shared" si="5"/>
        <v/>
      </c>
    </row>
    <row r="400" spans="1:22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50" t="str">
        <f t="shared" si="8"/>
        <v/>
      </c>
      <c r="U400" s="50"/>
      <c r="V400" s="22" t="str">
        <f t="shared" si="5"/>
        <v/>
      </c>
    </row>
    <row r="401" spans="1:22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50" t="str">
        <f t="shared" si="8"/>
        <v/>
      </c>
      <c r="U401" s="50"/>
      <c r="V401" s="22" t="str">
        <f t="shared" si="5"/>
        <v/>
      </c>
    </row>
    <row r="402" spans="1:22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50" t="str">
        <f t="shared" si="8"/>
        <v/>
      </c>
      <c r="U402" s="50"/>
      <c r="V402" s="22" t="str">
        <f t="shared" si="5"/>
        <v/>
      </c>
    </row>
    <row r="403" spans="1:22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50" t="str">
        <f t="shared" si="8"/>
        <v/>
      </c>
      <c r="U403" s="50"/>
      <c r="V403" s="22" t="str">
        <f t="shared" si="5"/>
        <v/>
      </c>
    </row>
    <row r="404" spans="1:22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50" t="str">
        <f t="shared" si="8"/>
        <v/>
      </c>
      <c r="U404" s="50"/>
      <c r="V404" s="22" t="str">
        <f t="shared" si="5"/>
        <v/>
      </c>
    </row>
    <row r="405" spans="1:22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50" t="str">
        <f t="shared" si="8"/>
        <v/>
      </c>
      <c r="U405" s="50"/>
      <c r="V405" s="22" t="str">
        <f t="shared" si="5"/>
        <v/>
      </c>
    </row>
    <row r="406" spans="1:22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50" t="str">
        <f t="shared" si="8"/>
        <v/>
      </c>
      <c r="U406" s="50"/>
      <c r="V406" s="22" t="str">
        <f t="shared" si="5"/>
        <v/>
      </c>
    </row>
    <row r="407" spans="1:22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50" t="str">
        <f t="shared" si="8"/>
        <v/>
      </c>
      <c r="U407" s="50"/>
      <c r="V407" s="22" t="str">
        <f t="shared" si="5"/>
        <v/>
      </c>
    </row>
    <row r="408" spans="1:22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50" t="str">
        <f t="shared" si="8"/>
        <v/>
      </c>
      <c r="U408" s="50"/>
      <c r="V408" s="22" t="str">
        <f t="shared" si="5"/>
        <v/>
      </c>
    </row>
    <row r="409" spans="1:22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50" t="str">
        <f t="shared" si="8"/>
        <v/>
      </c>
      <c r="U409" s="50"/>
      <c r="V409" s="22" t="str">
        <f t="shared" si="5"/>
        <v/>
      </c>
    </row>
    <row r="410" spans="1:22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50" t="str">
        <f t="shared" si="8"/>
        <v/>
      </c>
      <c r="U410" s="50"/>
      <c r="V410" s="22" t="str">
        <f t="shared" si="5"/>
        <v/>
      </c>
    </row>
    <row r="411" spans="1:22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50" t="str">
        <f t="shared" si="8"/>
        <v/>
      </c>
      <c r="U411" s="50"/>
      <c r="V411" s="22" t="str">
        <f t="shared" si="5"/>
        <v/>
      </c>
    </row>
    <row r="412" spans="1:22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50" t="str">
        <f t="shared" si="8"/>
        <v/>
      </c>
      <c r="U412" s="50"/>
      <c r="V412" s="22" t="str">
        <f t="shared" si="5"/>
        <v/>
      </c>
    </row>
    <row r="413" spans="1:22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50" t="str">
        <f t="shared" si="8"/>
        <v/>
      </c>
      <c r="U413" s="50"/>
      <c r="V413" s="22" t="str">
        <f t="shared" si="5"/>
        <v/>
      </c>
    </row>
    <row r="414" spans="1:22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50" t="str">
        <f t="shared" si="8"/>
        <v/>
      </c>
      <c r="U414" s="50"/>
      <c r="V414" s="22" t="str">
        <f t="shared" si="5"/>
        <v/>
      </c>
    </row>
    <row r="415" spans="1:22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50" t="str">
        <f t="shared" si="8"/>
        <v/>
      </c>
      <c r="U415" s="50"/>
      <c r="V415" s="22" t="str">
        <f t="shared" si="5"/>
        <v/>
      </c>
    </row>
    <row r="416" spans="1:22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50" t="str">
        <f t="shared" si="8"/>
        <v/>
      </c>
      <c r="U416" s="50"/>
      <c r="V416" s="22" t="str">
        <f t="shared" si="5"/>
        <v/>
      </c>
    </row>
    <row r="417" spans="1:22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50" t="str">
        <f t="shared" si="8"/>
        <v/>
      </c>
      <c r="U417" s="50"/>
      <c r="V417" s="22" t="str">
        <f t="shared" si="5"/>
        <v/>
      </c>
    </row>
    <row r="418" spans="1:22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50" t="str">
        <f t="shared" si="8"/>
        <v/>
      </c>
      <c r="U418" s="50"/>
      <c r="V418" s="22" t="str">
        <f t="shared" si="5"/>
        <v/>
      </c>
    </row>
    <row r="419" spans="1:22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50" t="str">
        <f t="shared" si="8"/>
        <v/>
      </c>
      <c r="U419" s="50"/>
      <c r="V419" s="22" t="str">
        <f t="shared" si="5"/>
        <v/>
      </c>
    </row>
    <row r="420" spans="1:22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50" t="str">
        <f t="shared" si="8"/>
        <v/>
      </c>
      <c r="U420" s="50"/>
      <c r="V420" s="22" t="str">
        <f t="shared" si="5"/>
        <v/>
      </c>
    </row>
    <row r="421" spans="1:22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50" t="str">
        <f t="shared" si="8"/>
        <v/>
      </c>
      <c r="U421" s="50"/>
      <c r="V421" s="22" t="str">
        <f t="shared" si="5"/>
        <v/>
      </c>
    </row>
    <row r="422" spans="1:22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50" t="str">
        <f t="shared" si="8"/>
        <v/>
      </c>
      <c r="U422" s="50"/>
      <c r="V422" s="22" t="str">
        <f t="shared" si="5"/>
        <v/>
      </c>
    </row>
    <row r="423" spans="1:22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50" t="str">
        <f t="shared" si="8"/>
        <v/>
      </c>
      <c r="U423" s="50"/>
      <c r="V423" s="22" t="str">
        <f t="shared" si="5"/>
        <v/>
      </c>
    </row>
    <row r="424" spans="1:22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50" t="str">
        <f t="shared" si="8"/>
        <v/>
      </c>
      <c r="U424" s="50"/>
      <c r="V424" s="22" t="str">
        <f t="shared" si="5"/>
        <v/>
      </c>
    </row>
    <row r="425" spans="1:22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50" t="str">
        <f t="shared" si="8"/>
        <v/>
      </c>
      <c r="U425" s="50"/>
      <c r="V425" s="22" t="str">
        <f t="shared" si="5"/>
        <v/>
      </c>
    </row>
    <row r="426" spans="1:22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50" t="str">
        <f t="shared" si="8"/>
        <v/>
      </c>
      <c r="U426" s="50"/>
      <c r="V426" s="22" t="str">
        <f t="shared" si="5"/>
        <v/>
      </c>
    </row>
    <row r="427" spans="1:22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50" t="str">
        <f t="shared" si="8"/>
        <v/>
      </c>
      <c r="U427" s="50"/>
      <c r="V427" s="22" t="str">
        <f t="shared" si="5"/>
        <v/>
      </c>
    </row>
    <row r="428" spans="1:22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50" t="str">
        <f t="shared" si="8"/>
        <v/>
      </c>
      <c r="U428" s="50"/>
      <c r="V428" s="22" t="str">
        <f t="shared" si="5"/>
        <v/>
      </c>
    </row>
    <row r="429" spans="1:22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50" t="str">
        <f t="shared" si="8"/>
        <v/>
      </c>
      <c r="U429" s="50"/>
      <c r="V429" s="22" t="str">
        <f t="shared" si="5"/>
        <v/>
      </c>
    </row>
    <row r="430" spans="1:22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50" t="str">
        <f t="shared" si="8"/>
        <v/>
      </c>
      <c r="U430" s="50"/>
      <c r="V430" s="22" t="str">
        <f t="shared" si="5"/>
        <v/>
      </c>
    </row>
    <row r="431" spans="1:22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50" t="str">
        <f t="shared" si="8"/>
        <v/>
      </c>
      <c r="U431" s="50"/>
      <c r="V431" s="22" t="str">
        <f t="shared" si="5"/>
        <v/>
      </c>
    </row>
    <row r="432" spans="1:22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50" t="str">
        <f t="shared" si="8"/>
        <v/>
      </c>
      <c r="U432" s="50"/>
      <c r="V432" s="22" t="str">
        <f t="shared" si="5"/>
        <v/>
      </c>
    </row>
    <row r="433" spans="1:22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50" t="str">
        <f t="shared" si="8"/>
        <v/>
      </c>
      <c r="U433" s="50"/>
      <c r="V433" s="22" t="str">
        <f t="shared" si="5"/>
        <v/>
      </c>
    </row>
    <row r="434" spans="1:22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50" t="str">
        <f t="shared" si="8"/>
        <v/>
      </c>
      <c r="U434" s="50"/>
      <c r="V434" s="22" t="str">
        <f t="shared" si="5"/>
        <v/>
      </c>
    </row>
    <row r="435" spans="1:22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50" t="str">
        <f t="shared" si="8"/>
        <v/>
      </c>
      <c r="U435" s="50"/>
      <c r="V435" s="22" t="str">
        <f t="shared" si="5"/>
        <v/>
      </c>
    </row>
    <row r="436" spans="1:22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50" t="str">
        <f t="shared" si="8"/>
        <v/>
      </c>
      <c r="U436" s="50"/>
      <c r="V436" s="22" t="str">
        <f t="shared" si="5"/>
        <v/>
      </c>
    </row>
    <row r="437" spans="1:22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50" t="str">
        <f t="shared" si="8"/>
        <v/>
      </c>
      <c r="U437" s="50"/>
      <c r="V437" s="22" t="str">
        <f t="shared" si="5"/>
        <v/>
      </c>
    </row>
    <row r="438" spans="1:22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50" t="str">
        <f t="shared" si="8"/>
        <v/>
      </c>
      <c r="U438" s="50"/>
      <c r="V438" s="22" t="str">
        <f t="shared" si="5"/>
        <v/>
      </c>
    </row>
    <row r="439" spans="1:22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50" t="str">
        <f t="shared" si="8"/>
        <v/>
      </c>
      <c r="U439" s="50"/>
      <c r="V439" s="22" t="str">
        <f t="shared" si="5"/>
        <v/>
      </c>
    </row>
    <row r="440" spans="1:22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50" t="str">
        <f t="shared" si="8"/>
        <v/>
      </c>
      <c r="U440" s="50"/>
      <c r="V440" s="22" t="str">
        <f t="shared" si="5"/>
        <v/>
      </c>
    </row>
    <row r="441" spans="1:22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50" t="str">
        <f t="shared" si="8"/>
        <v/>
      </c>
      <c r="U441" s="50"/>
      <c r="V441" s="22" t="str">
        <f t="shared" si="5"/>
        <v/>
      </c>
    </row>
    <row r="442" spans="1:22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50" t="str">
        <f t="shared" si="8"/>
        <v/>
      </c>
      <c r="U442" s="50"/>
      <c r="V442" s="22" t="str">
        <f t="shared" si="5"/>
        <v/>
      </c>
    </row>
    <row r="443" spans="1:22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50" t="str">
        <f t="shared" si="8"/>
        <v/>
      </c>
      <c r="U443" s="50"/>
      <c r="V443" s="22" t="str">
        <f t="shared" si="5"/>
        <v/>
      </c>
    </row>
    <row r="444" spans="1:22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50" t="str">
        <f t="shared" si="8"/>
        <v/>
      </c>
      <c r="U444" s="50"/>
      <c r="V444" s="22" t="str">
        <f t="shared" si="5"/>
        <v/>
      </c>
    </row>
    <row r="445" spans="1:22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50" t="str">
        <f t="shared" si="8"/>
        <v/>
      </c>
      <c r="U445" s="50"/>
      <c r="V445" s="22" t="str">
        <f t="shared" si="5"/>
        <v/>
      </c>
    </row>
    <row r="446" spans="1:22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50" t="str">
        <f t="shared" si="8"/>
        <v/>
      </c>
      <c r="U446" s="50"/>
      <c r="V446" s="22" t="str">
        <f t="shared" si="5"/>
        <v/>
      </c>
    </row>
    <row r="447" spans="1:22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50" t="str">
        <f t="shared" si="8"/>
        <v/>
      </c>
      <c r="U447" s="50"/>
      <c r="V447" s="22" t="str">
        <f t="shared" si="5"/>
        <v/>
      </c>
    </row>
    <row r="448" spans="1:22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50" t="str">
        <f t="shared" si="8"/>
        <v/>
      </c>
      <c r="U448" s="50"/>
      <c r="V448" s="22" t="str">
        <f t="shared" si="5"/>
        <v/>
      </c>
    </row>
    <row r="449" spans="1:22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50" t="str">
        <f t="shared" si="8"/>
        <v/>
      </c>
      <c r="U449" s="50"/>
      <c r="V449" s="22" t="str">
        <f t="shared" si="5"/>
        <v/>
      </c>
    </row>
    <row r="450" spans="1:22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50" t="str">
        <f t="shared" si="8"/>
        <v/>
      </c>
      <c r="U450" s="50"/>
      <c r="V450" s="22" t="str">
        <f t="shared" si="5"/>
        <v/>
      </c>
    </row>
    <row r="451" spans="1:22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50" t="str">
        <f t="shared" ref="T451:T514" si="9">IF(A451="", "",IF(L451&gt;O451,"",NETWORKDAYS.INTL(L451,O451,1,FERIADOS)))</f>
        <v/>
      </c>
      <c r="U451" s="50"/>
      <c r="V451" s="22" t="str">
        <f t="shared" si="5"/>
        <v/>
      </c>
    </row>
    <row r="452" spans="1:22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50" t="str">
        <f t="shared" si="9"/>
        <v/>
      </c>
      <c r="U452" s="50"/>
      <c r="V452" s="22" t="str">
        <f t="shared" si="5"/>
        <v/>
      </c>
    </row>
    <row r="453" spans="1:22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50" t="str">
        <f t="shared" si="9"/>
        <v/>
      </c>
      <c r="U453" s="50"/>
      <c r="V453" s="22" t="str">
        <f t="shared" si="5"/>
        <v/>
      </c>
    </row>
    <row r="454" spans="1:22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50" t="str">
        <f t="shared" si="9"/>
        <v/>
      </c>
      <c r="U454" s="50"/>
      <c r="V454" s="22" t="str">
        <f t="shared" si="5"/>
        <v/>
      </c>
    </row>
    <row r="455" spans="1:22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50" t="str">
        <f t="shared" si="9"/>
        <v/>
      </c>
      <c r="U455" s="50"/>
      <c r="V455" s="22" t="str">
        <f t="shared" si="5"/>
        <v/>
      </c>
    </row>
    <row r="456" spans="1:22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50" t="str">
        <f t="shared" si="9"/>
        <v/>
      </c>
      <c r="U456" s="50"/>
      <c r="V456" s="22" t="str">
        <f t="shared" si="5"/>
        <v/>
      </c>
    </row>
    <row r="457" spans="1:22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50" t="str">
        <f t="shared" si="9"/>
        <v/>
      </c>
      <c r="U457" s="50"/>
      <c r="V457" s="22" t="str">
        <f t="shared" si="5"/>
        <v/>
      </c>
    </row>
    <row r="458" spans="1:22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50" t="str">
        <f t="shared" si="9"/>
        <v/>
      </c>
      <c r="U458" s="50"/>
      <c r="V458" s="22" t="str">
        <f t="shared" si="5"/>
        <v/>
      </c>
    </row>
    <row r="459" spans="1:22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50" t="str">
        <f t="shared" si="9"/>
        <v/>
      </c>
      <c r="U459" s="50"/>
      <c r="V459" s="22" t="str">
        <f t="shared" si="5"/>
        <v/>
      </c>
    </row>
    <row r="460" spans="1:22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50" t="str">
        <f t="shared" si="9"/>
        <v/>
      </c>
      <c r="U460" s="50"/>
      <c r="V460" s="22" t="str">
        <f t="shared" si="5"/>
        <v/>
      </c>
    </row>
    <row r="461" spans="1:22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50" t="str">
        <f t="shared" si="9"/>
        <v/>
      </c>
      <c r="U461" s="50"/>
      <c r="V461" s="22" t="str">
        <f t="shared" si="5"/>
        <v/>
      </c>
    </row>
    <row r="462" spans="1:22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50" t="str">
        <f t="shared" si="9"/>
        <v/>
      </c>
      <c r="U462" s="50"/>
      <c r="V462" s="22" t="str">
        <f t="shared" si="5"/>
        <v/>
      </c>
    </row>
    <row r="463" spans="1:22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50" t="str">
        <f t="shared" si="9"/>
        <v/>
      </c>
      <c r="U463" s="50"/>
      <c r="V463" s="22" t="str">
        <f t="shared" si="5"/>
        <v/>
      </c>
    </row>
    <row r="464" spans="1:22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50" t="str">
        <f t="shared" si="9"/>
        <v/>
      </c>
      <c r="U464" s="50"/>
      <c r="V464" s="22" t="str">
        <f t="shared" si="5"/>
        <v/>
      </c>
    </row>
    <row r="465" spans="1:22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50" t="str">
        <f t="shared" si="9"/>
        <v/>
      </c>
      <c r="U465" s="50"/>
      <c r="V465" s="22" t="str">
        <f t="shared" si="5"/>
        <v/>
      </c>
    </row>
    <row r="466" spans="1:22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50" t="str">
        <f t="shared" si="9"/>
        <v/>
      </c>
      <c r="U466" s="50"/>
      <c r="V466" s="22" t="str">
        <f t="shared" si="5"/>
        <v/>
      </c>
    </row>
    <row r="467" spans="1:22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50" t="str">
        <f t="shared" si="9"/>
        <v/>
      </c>
      <c r="U467" s="50"/>
      <c r="V467" s="22" t="str">
        <f t="shared" si="5"/>
        <v/>
      </c>
    </row>
    <row r="468" spans="1:22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50" t="str">
        <f t="shared" si="9"/>
        <v/>
      </c>
      <c r="U468" s="50"/>
      <c r="V468" s="22" t="str">
        <f t="shared" si="5"/>
        <v/>
      </c>
    </row>
    <row r="469" spans="1:22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50" t="str">
        <f t="shared" si="9"/>
        <v/>
      </c>
      <c r="U469" s="50"/>
      <c r="V469" s="22" t="str">
        <f t="shared" si="5"/>
        <v/>
      </c>
    </row>
    <row r="470" spans="1:22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50" t="str">
        <f t="shared" si="9"/>
        <v/>
      </c>
      <c r="U470" s="50"/>
      <c r="V470" s="22" t="str">
        <f t="shared" si="5"/>
        <v/>
      </c>
    </row>
    <row r="471" spans="1:22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50" t="str">
        <f t="shared" si="9"/>
        <v/>
      </c>
      <c r="U471" s="50"/>
      <c r="V471" s="22" t="str">
        <f t="shared" si="5"/>
        <v/>
      </c>
    </row>
    <row r="472" spans="1:22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50" t="str">
        <f t="shared" si="9"/>
        <v/>
      </c>
      <c r="U472" s="50"/>
      <c r="V472" s="22" t="str">
        <f t="shared" si="5"/>
        <v/>
      </c>
    </row>
    <row r="473" spans="1:22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50" t="str">
        <f t="shared" si="9"/>
        <v/>
      </c>
      <c r="U473" s="50"/>
      <c r="V473" s="22" t="str">
        <f t="shared" si="5"/>
        <v/>
      </c>
    </row>
    <row r="474" spans="1:22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50" t="str">
        <f t="shared" si="9"/>
        <v/>
      </c>
      <c r="U474" s="50"/>
      <c r="V474" s="22" t="str">
        <f t="shared" si="5"/>
        <v/>
      </c>
    </row>
    <row r="475" spans="1:22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50" t="str">
        <f t="shared" si="9"/>
        <v/>
      </c>
      <c r="U475" s="50"/>
      <c r="V475" s="22" t="str">
        <f t="shared" si="5"/>
        <v/>
      </c>
    </row>
    <row r="476" spans="1:22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50" t="str">
        <f t="shared" si="9"/>
        <v/>
      </c>
      <c r="U476" s="50"/>
      <c r="V476" s="22" t="str">
        <f t="shared" si="5"/>
        <v/>
      </c>
    </row>
    <row r="477" spans="1:22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50" t="str">
        <f t="shared" si="9"/>
        <v/>
      </c>
      <c r="U477" s="50"/>
      <c r="V477" s="22" t="str">
        <f t="shared" si="5"/>
        <v/>
      </c>
    </row>
    <row r="478" spans="1:22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50" t="str">
        <f t="shared" si="9"/>
        <v/>
      </c>
      <c r="U478" s="50"/>
      <c r="V478" s="22" t="str">
        <f t="shared" si="5"/>
        <v/>
      </c>
    </row>
    <row r="479" spans="1:22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50" t="str">
        <f t="shared" si="9"/>
        <v/>
      </c>
      <c r="U479" s="50"/>
      <c r="V479" s="22" t="str">
        <f t="shared" si="5"/>
        <v/>
      </c>
    </row>
    <row r="480" spans="1:22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50" t="str">
        <f t="shared" si="9"/>
        <v/>
      </c>
      <c r="U480" s="50"/>
      <c r="V480" s="22" t="str">
        <f t="shared" si="5"/>
        <v/>
      </c>
    </row>
    <row r="481" spans="1:22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50" t="str">
        <f t="shared" si="9"/>
        <v/>
      </c>
      <c r="U481" s="50"/>
      <c r="V481" s="22" t="str">
        <f t="shared" si="5"/>
        <v/>
      </c>
    </row>
    <row r="482" spans="1:22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50" t="str">
        <f t="shared" si="9"/>
        <v/>
      </c>
      <c r="U482" s="50"/>
      <c r="V482" s="22" t="str">
        <f t="shared" si="5"/>
        <v/>
      </c>
    </row>
    <row r="483" spans="1:22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50" t="str">
        <f t="shared" si="9"/>
        <v/>
      </c>
      <c r="U483" s="50"/>
      <c r="V483" s="22" t="str">
        <f t="shared" si="5"/>
        <v/>
      </c>
    </row>
    <row r="484" spans="1:22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50" t="str">
        <f t="shared" si="9"/>
        <v/>
      </c>
      <c r="U484" s="50"/>
      <c r="V484" s="22" t="str">
        <f t="shared" si="5"/>
        <v/>
      </c>
    </row>
    <row r="485" spans="1:22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50" t="str">
        <f t="shared" si="9"/>
        <v/>
      </c>
      <c r="U485" s="50"/>
      <c r="V485" s="22" t="str">
        <f t="shared" si="5"/>
        <v/>
      </c>
    </row>
    <row r="486" spans="1:22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50" t="str">
        <f t="shared" si="9"/>
        <v/>
      </c>
      <c r="U486" s="50"/>
      <c r="V486" s="22" t="str">
        <f t="shared" si="5"/>
        <v/>
      </c>
    </row>
    <row r="487" spans="1:22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50" t="str">
        <f t="shared" si="9"/>
        <v/>
      </c>
      <c r="U487" s="50"/>
      <c r="V487" s="22" t="str">
        <f t="shared" si="5"/>
        <v/>
      </c>
    </row>
    <row r="488" spans="1:22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50" t="str">
        <f t="shared" si="9"/>
        <v/>
      </c>
      <c r="U488" s="50"/>
      <c r="V488" s="22" t="str">
        <f t="shared" si="5"/>
        <v/>
      </c>
    </row>
    <row r="489" spans="1:22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50" t="str">
        <f t="shared" si="9"/>
        <v/>
      </c>
      <c r="U489" s="50"/>
      <c r="V489" s="22" t="str">
        <f t="shared" si="5"/>
        <v/>
      </c>
    </row>
    <row r="490" spans="1:22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50" t="str">
        <f t="shared" si="9"/>
        <v/>
      </c>
      <c r="U490" s="50"/>
      <c r="V490" s="22" t="str">
        <f t="shared" si="5"/>
        <v/>
      </c>
    </row>
    <row r="491" spans="1:22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50" t="str">
        <f t="shared" si="9"/>
        <v/>
      </c>
      <c r="U491" s="50"/>
      <c r="V491" s="22" t="str">
        <f t="shared" si="5"/>
        <v/>
      </c>
    </row>
    <row r="492" spans="1:22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50" t="str">
        <f t="shared" si="9"/>
        <v/>
      </c>
      <c r="U492" s="50"/>
      <c r="V492" s="22" t="str">
        <f t="shared" si="5"/>
        <v/>
      </c>
    </row>
    <row r="493" spans="1:22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50" t="str">
        <f t="shared" si="9"/>
        <v/>
      </c>
      <c r="U493" s="50"/>
      <c r="V493" s="22" t="str">
        <f t="shared" si="5"/>
        <v/>
      </c>
    </row>
    <row r="494" spans="1:22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50" t="str">
        <f t="shared" si="9"/>
        <v/>
      </c>
      <c r="U494" s="50"/>
      <c r="V494" s="22" t="str">
        <f t="shared" si="5"/>
        <v/>
      </c>
    </row>
    <row r="495" spans="1:22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50" t="str">
        <f t="shared" si="9"/>
        <v/>
      </c>
      <c r="U495" s="50"/>
      <c r="V495" s="22" t="str">
        <f t="shared" si="5"/>
        <v/>
      </c>
    </row>
    <row r="496" spans="1:22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50" t="str">
        <f t="shared" si="9"/>
        <v/>
      </c>
      <c r="U496" s="50"/>
      <c r="V496" s="22" t="str">
        <f t="shared" si="5"/>
        <v/>
      </c>
    </row>
    <row r="497" spans="1:22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50" t="str">
        <f t="shared" si="9"/>
        <v/>
      </c>
      <c r="U497" s="50"/>
      <c r="V497" s="22" t="str">
        <f t="shared" si="5"/>
        <v/>
      </c>
    </row>
    <row r="498" spans="1:22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50" t="str">
        <f t="shared" si="9"/>
        <v/>
      </c>
      <c r="U498" s="50"/>
      <c r="V498" s="22" t="str">
        <f t="shared" si="5"/>
        <v/>
      </c>
    </row>
    <row r="499" spans="1:22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50" t="str">
        <f t="shared" si="9"/>
        <v/>
      </c>
      <c r="U499" s="50"/>
      <c r="V499" s="22" t="str">
        <f t="shared" si="5"/>
        <v/>
      </c>
    </row>
    <row r="500" spans="1:22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50" t="str">
        <f t="shared" si="9"/>
        <v/>
      </c>
      <c r="U500" s="50"/>
      <c r="V500" s="22" t="str">
        <f t="shared" si="5"/>
        <v/>
      </c>
    </row>
    <row r="501" spans="1:22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50" t="str">
        <f t="shared" si="9"/>
        <v/>
      </c>
      <c r="U501" s="50"/>
      <c r="V501" s="22" t="str">
        <f t="shared" si="5"/>
        <v/>
      </c>
    </row>
    <row r="502" spans="1:22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50" t="str">
        <f t="shared" si="9"/>
        <v/>
      </c>
      <c r="U502" s="50"/>
      <c r="V502" s="22" t="str">
        <f t="shared" si="5"/>
        <v/>
      </c>
    </row>
    <row r="503" spans="1:22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50" t="str">
        <f t="shared" si="9"/>
        <v/>
      </c>
      <c r="U503" s="50"/>
      <c r="V503" s="22" t="str">
        <f t="shared" si="5"/>
        <v/>
      </c>
    </row>
    <row r="504" spans="1:22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50" t="str">
        <f t="shared" si="9"/>
        <v/>
      </c>
      <c r="U504" s="50"/>
      <c r="V504" s="22" t="str">
        <f t="shared" si="5"/>
        <v/>
      </c>
    </row>
    <row r="505" spans="1:22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50" t="str">
        <f t="shared" si="9"/>
        <v/>
      </c>
      <c r="U505" s="50"/>
      <c r="V505" s="22" t="str">
        <f t="shared" si="5"/>
        <v/>
      </c>
    </row>
    <row r="506" spans="1:22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50" t="str">
        <f t="shared" si="9"/>
        <v/>
      </c>
      <c r="U506" s="50"/>
      <c r="V506" s="22" t="str">
        <f t="shared" si="5"/>
        <v/>
      </c>
    </row>
    <row r="507" spans="1:22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50" t="str">
        <f t="shared" si="9"/>
        <v/>
      </c>
      <c r="U507" s="50"/>
      <c r="V507" s="22" t="str">
        <f t="shared" si="5"/>
        <v/>
      </c>
    </row>
    <row r="508" spans="1:22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50" t="str">
        <f t="shared" si="9"/>
        <v/>
      </c>
      <c r="U508" s="50"/>
      <c r="V508" s="22" t="str">
        <f t="shared" si="5"/>
        <v/>
      </c>
    </row>
    <row r="509" spans="1:22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50" t="str">
        <f t="shared" si="9"/>
        <v/>
      </c>
      <c r="U509" s="50"/>
      <c r="V509" s="22" t="str">
        <f t="shared" si="5"/>
        <v/>
      </c>
    </row>
    <row r="510" spans="1:22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50" t="str">
        <f t="shared" si="9"/>
        <v/>
      </c>
      <c r="U510" s="50"/>
      <c r="V510" s="22" t="str">
        <f t="shared" si="5"/>
        <v/>
      </c>
    </row>
    <row r="511" spans="1:22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50" t="str">
        <f t="shared" si="9"/>
        <v/>
      </c>
      <c r="U511" s="50"/>
      <c r="V511" s="22" t="str">
        <f t="shared" si="5"/>
        <v/>
      </c>
    </row>
    <row r="512" spans="1:22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50" t="str">
        <f t="shared" si="9"/>
        <v/>
      </c>
      <c r="U512" s="50"/>
      <c r="V512" s="22" t="str">
        <f t="shared" si="5"/>
        <v/>
      </c>
    </row>
    <row r="513" spans="1:22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50" t="str">
        <f t="shared" si="9"/>
        <v/>
      </c>
      <c r="U513" s="50"/>
      <c r="V513" s="22" t="str">
        <f t="shared" ref="V513:V767" si="10">IF(A513="","","TIPO 2")</f>
        <v/>
      </c>
    </row>
    <row r="514" spans="1:22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50" t="str">
        <f t="shared" si="9"/>
        <v/>
      </c>
      <c r="U514" s="50"/>
      <c r="V514" s="22" t="str">
        <f t="shared" si="10"/>
        <v/>
      </c>
    </row>
    <row r="515" spans="1:22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50" t="str">
        <f t="shared" ref="T515:T578" si="11">IF(A515="", "",IF(L515&gt;O515,"",NETWORKDAYS.INTL(L515,O515,1,FERIADOS)))</f>
        <v/>
      </c>
      <c r="U515" s="50"/>
      <c r="V515" s="22" t="str">
        <f t="shared" si="10"/>
        <v/>
      </c>
    </row>
    <row r="516" spans="1:22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50" t="str">
        <f t="shared" si="11"/>
        <v/>
      </c>
      <c r="U516" s="50"/>
      <c r="V516" s="22" t="str">
        <f t="shared" si="10"/>
        <v/>
      </c>
    </row>
    <row r="517" spans="1:22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50" t="str">
        <f t="shared" si="11"/>
        <v/>
      </c>
      <c r="U517" s="50"/>
      <c r="V517" s="22" t="str">
        <f t="shared" si="10"/>
        <v/>
      </c>
    </row>
    <row r="518" spans="1:22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50" t="str">
        <f t="shared" si="11"/>
        <v/>
      </c>
      <c r="U518" s="50"/>
      <c r="V518" s="22" t="str">
        <f t="shared" si="10"/>
        <v/>
      </c>
    </row>
    <row r="519" spans="1:22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50" t="str">
        <f t="shared" si="11"/>
        <v/>
      </c>
      <c r="U519" s="50"/>
      <c r="V519" s="22" t="str">
        <f t="shared" si="10"/>
        <v/>
      </c>
    </row>
    <row r="520" spans="1:22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50" t="str">
        <f t="shared" si="11"/>
        <v/>
      </c>
      <c r="U520" s="50"/>
      <c r="V520" s="22" t="str">
        <f t="shared" si="10"/>
        <v/>
      </c>
    </row>
    <row r="521" spans="1:22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50" t="str">
        <f t="shared" si="11"/>
        <v/>
      </c>
      <c r="U521" s="50"/>
      <c r="V521" s="22" t="str">
        <f t="shared" si="10"/>
        <v/>
      </c>
    </row>
    <row r="522" spans="1:22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50" t="str">
        <f t="shared" si="11"/>
        <v/>
      </c>
      <c r="U522" s="50"/>
      <c r="V522" s="22" t="str">
        <f t="shared" si="10"/>
        <v/>
      </c>
    </row>
    <row r="523" spans="1:22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50" t="str">
        <f t="shared" si="11"/>
        <v/>
      </c>
      <c r="U523" s="50"/>
      <c r="V523" s="22" t="str">
        <f t="shared" si="10"/>
        <v/>
      </c>
    </row>
    <row r="524" spans="1:22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50" t="str">
        <f t="shared" si="11"/>
        <v/>
      </c>
      <c r="U524" s="50"/>
      <c r="V524" s="22" t="str">
        <f t="shared" si="10"/>
        <v/>
      </c>
    </row>
    <row r="525" spans="1:22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50" t="str">
        <f t="shared" si="11"/>
        <v/>
      </c>
      <c r="U525" s="50"/>
      <c r="V525" s="22" t="str">
        <f t="shared" si="10"/>
        <v/>
      </c>
    </row>
    <row r="526" spans="1:22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50" t="str">
        <f t="shared" si="11"/>
        <v/>
      </c>
      <c r="U526" s="50"/>
      <c r="V526" s="22" t="str">
        <f t="shared" si="10"/>
        <v/>
      </c>
    </row>
    <row r="527" spans="1:22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50" t="str">
        <f t="shared" si="11"/>
        <v/>
      </c>
      <c r="U527" s="50"/>
      <c r="V527" s="22" t="str">
        <f t="shared" si="10"/>
        <v/>
      </c>
    </row>
    <row r="528" spans="1:22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50" t="str">
        <f t="shared" si="11"/>
        <v/>
      </c>
      <c r="U528" s="50"/>
      <c r="V528" s="22" t="str">
        <f t="shared" si="10"/>
        <v/>
      </c>
    </row>
    <row r="529" spans="1:22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50" t="str">
        <f t="shared" si="11"/>
        <v/>
      </c>
      <c r="U529" s="50"/>
      <c r="V529" s="22" t="str">
        <f t="shared" si="10"/>
        <v/>
      </c>
    </row>
    <row r="530" spans="1:22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50" t="str">
        <f t="shared" si="11"/>
        <v/>
      </c>
      <c r="U530" s="50"/>
      <c r="V530" s="22" t="str">
        <f t="shared" si="10"/>
        <v/>
      </c>
    </row>
    <row r="531" spans="1:22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50" t="str">
        <f t="shared" si="11"/>
        <v/>
      </c>
      <c r="U531" s="50"/>
      <c r="V531" s="22" t="str">
        <f t="shared" si="10"/>
        <v/>
      </c>
    </row>
    <row r="532" spans="1:22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50" t="str">
        <f t="shared" si="11"/>
        <v/>
      </c>
      <c r="U532" s="50"/>
      <c r="V532" s="22" t="str">
        <f t="shared" si="10"/>
        <v/>
      </c>
    </row>
    <row r="533" spans="1:22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50" t="str">
        <f t="shared" si="11"/>
        <v/>
      </c>
      <c r="U533" s="50"/>
      <c r="V533" s="22" t="str">
        <f t="shared" si="10"/>
        <v/>
      </c>
    </row>
    <row r="534" spans="1:22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50" t="str">
        <f t="shared" si="11"/>
        <v/>
      </c>
      <c r="U534" s="50"/>
      <c r="V534" s="22" t="str">
        <f t="shared" si="10"/>
        <v/>
      </c>
    </row>
    <row r="535" spans="1:22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50" t="str">
        <f t="shared" si="11"/>
        <v/>
      </c>
      <c r="U535" s="50"/>
      <c r="V535" s="22" t="str">
        <f t="shared" si="10"/>
        <v/>
      </c>
    </row>
    <row r="536" spans="1:22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50" t="str">
        <f t="shared" si="11"/>
        <v/>
      </c>
      <c r="U536" s="50"/>
      <c r="V536" s="22" t="str">
        <f t="shared" si="10"/>
        <v/>
      </c>
    </row>
    <row r="537" spans="1:22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50" t="str">
        <f t="shared" si="11"/>
        <v/>
      </c>
      <c r="U537" s="50"/>
      <c r="V537" s="22" t="str">
        <f t="shared" si="10"/>
        <v/>
      </c>
    </row>
    <row r="538" spans="1:22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50" t="str">
        <f t="shared" si="11"/>
        <v/>
      </c>
      <c r="U538" s="50"/>
      <c r="V538" s="22" t="str">
        <f t="shared" si="10"/>
        <v/>
      </c>
    </row>
    <row r="539" spans="1:22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50" t="str">
        <f t="shared" si="11"/>
        <v/>
      </c>
      <c r="U539" s="50"/>
      <c r="V539" s="22" t="str">
        <f t="shared" si="10"/>
        <v/>
      </c>
    </row>
    <row r="540" spans="1:22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50" t="str">
        <f t="shared" si="11"/>
        <v/>
      </c>
      <c r="U540" s="50"/>
      <c r="V540" s="22" t="str">
        <f t="shared" si="10"/>
        <v/>
      </c>
    </row>
    <row r="541" spans="1:22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50" t="str">
        <f t="shared" si="11"/>
        <v/>
      </c>
      <c r="U541" s="50"/>
      <c r="V541" s="22" t="str">
        <f t="shared" si="10"/>
        <v/>
      </c>
    </row>
    <row r="542" spans="1:22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50" t="str">
        <f t="shared" si="11"/>
        <v/>
      </c>
      <c r="U542" s="50"/>
      <c r="V542" s="22" t="str">
        <f t="shared" si="10"/>
        <v/>
      </c>
    </row>
    <row r="543" spans="1:22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50" t="str">
        <f t="shared" si="11"/>
        <v/>
      </c>
      <c r="U543" s="50"/>
      <c r="V543" s="22" t="str">
        <f t="shared" si="10"/>
        <v/>
      </c>
    </row>
    <row r="544" spans="1:22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50" t="str">
        <f t="shared" si="11"/>
        <v/>
      </c>
      <c r="U544" s="50"/>
      <c r="V544" s="22" t="str">
        <f t="shared" si="10"/>
        <v/>
      </c>
    </row>
    <row r="545" spans="1:22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50" t="str">
        <f t="shared" si="11"/>
        <v/>
      </c>
      <c r="U545" s="50"/>
      <c r="V545" s="22" t="str">
        <f t="shared" si="10"/>
        <v/>
      </c>
    </row>
    <row r="546" spans="1:22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50" t="str">
        <f t="shared" si="11"/>
        <v/>
      </c>
      <c r="U546" s="50"/>
      <c r="V546" s="22" t="str">
        <f t="shared" si="10"/>
        <v/>
      </c>
    </row>
    <row r="547" spans="1:22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50" t="str">
        <f t="shared" si="11"/>
        <v/>
      </c>
      <c r="U547" s="50"/>
      <c r="V547" s="22" t="str">
        <f t="shared" si="10"/>
        <v/>
      </c>
    </row>
    <row r="548" spans="1:22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50" t="str">
        <f t="shared" si="11"/>
        <v/>
      </c>
      <c r="U548" s="50"/>
      <c r="V548" s="22" t="str">
        <f t="shared" si="10"/>
        <v/>
      </c>
    </row>
    <row r="549" spans="1:22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50" t="str">
        <f t="shared" si="11"/>
        <v/>
      </c>
      <c r="U549" s="50"/>
      <c r="V549" s="22" t="str">
        <f t="shared" si="10"/>
        <v/>
      </c>
    </row>
    <row r="550" spans="1:22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50" t="str">
        <f t="shared" si="11"/>
        <v/>
      </c>
      <c r="U550" s="50"/>
      <c r="V550" s="22" t="str">
        <f t="shared" si="10"/>
        <v/>
      </c>
    </row>
    <row r="551" spans="1:22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50" t="str">
        <f t="shared" si="11"/>
        <v/>
      </c>
      <c r="U551" s="50"/>
      <c r="V551" s="22" t="str">
        <f t="shared" si="10"/>
        <v/>
      </c>
    </row>
    <row r="552" spans="1:22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50" t="str">
        <f t="shared" si="11"/>
        <v/>
      </c>
      <c r="U552" s="50"/>
      <c r="V552" s="22" t="str">
        <f t="shared" si="10"/>
        <v/>
      </c>
    </row>
    <row r="553" spans="1:22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50" t="str">
        <f t="shared" si="11"/>
        <v/>
      </c>
      <c r="U553" s="50"/>
      <c r="V553" s="22" t="str">
        <f t="shared" si="10"/>
        <v/>
      </c>
    </row>
    <row r="554" spans="1:22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50" t="str">
        <f t="shared" si="11"/>
        <v/>
      </c>
      <c r="U554" s="50"/>
      <c r="V554" s="22" t="str">
        <f t="shared" si="10"/>
        <v/>
      </c>
    </row>
    <row r="555" spans="1:22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50" t="str">
        <f t="shared" si="11"/>
        <v/>
      </c>
      <c r="U555" s="50"/>
      <c r="V555" s="22" t="str">
        <f t="shared" si="10"/>
        <v/>
      </c>
    </row>
    <row r="556" spans="1:22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50" t="str">
        <f t="shared" si="11"/>
        <v/>
      </c>
      <c r="U556" s="50"/>
      <c r="V556" s="22" t="str">
        <f t="shared" si="10"/>
        <v/>
      </c>
    </row>
    <row r="557" spans="1:22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50" t="str">
        <f t="shared" si="11"/>
        <v/>
      </c>
      <c r="U557" s="50"/>
      <c r="V557" s="22" t="str">
        <f t="shared" si="10"/>
        <v/>
      </c>
    </row>
    <row r="558" spans="1:22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50" t="str">
        <f t="shared" si="11"/>
        <v/>
      </c>
      <c r="U558" s="50"/>
      <c r="V558" s="22" t="str">
        <f t="shared" si="10"/>
        <v/>
      </c>
    </row>
    <row r="559" spans="1:22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50" t="str">
        <f t="shared" si="11"/>
        <v/>
      </c>
      <c r="U559" s="50"/>
      <c r="V559" s="22" t="str">
        <f t="shared" si="10"/>
        <v/>
      </c>
    </row>
    <row r="560" spans="1:22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50" t="str">
        <f t="shared" si="11"/>
        <v/>
      </c>
      <c r="U560" s="50"/>
      <c r="V560" s="22" t="str">
        <f t="shared" si="10"/>
        <v/>
      </c>
    </row>
    <row r="561" spans="1:22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50" t="str">
        <f t="shared" si="11"/>
        <v/>
      </c>
      <c r="U561" s="50"/>
      <c r="V561" s="22" t="str">
        <f t="shared" si="10"/>
        <v/>
      </c>
    </row>
    <row r="562" spans="1:22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50" t="str">
        <f t="shared" si="11"/>
        <v/>
      </c>
      <c r="U562" s="50"/>
      <c r="V562" s="22" t="str">
        <f t="shared" si="10"/>
        <v/>
      </c>
    </row>
    <row r="563" spans="1:22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50" t="str">
        <f t="shared" si="11"/>
        <v/>
      </c>
      <c r="U563" s="50"/>
      <c r="V563" s="22" t="str">
        <f t="shared" si="10"/>
        <v/>
      </c>
    </row>
    <row r="564" spans="1:22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50" t="str">
        <f t="shared" si="11"/>
        <v/>
      </c>
      <c r="U564" s="50"/>
      <c r="V564" s="22" t="str">
        <f t="shared" si="10"/>
        <v/>
      </c>
    </row>
    <row r="565" spans="1:22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50" t="str">
        <f t="shared" si="11"/>
        <v/>
      </c>
      <c r="U565" s="50"/>
      <c r="V565" s="22" t="str">
        <f t="shared" si="10"/>
        <v/>
      </c>
    </row>
    <row r="566" spans="1:22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50" t="str">
        <f t="shared" si="11"/>
        <v/>
      </c>
      <c r="U566" s="50"/>
      <c r="V566" s="22" t="str">
        <f t="shared" si="10"/>
        <v/>
      </c>
    </row>
    <row r="567" spans="1:22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50" t="str">
        <f t="shared" si="11"/>
        <v/>
      </c>
      <c r="U567" s="50"/>
      <c r="V567" s="22" t="str">
        <f t="shared" si="10"/>
        <v/>
      </c>
    </row>
    <row r="568" spans="1:22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50" t="str">
        <f t="shared" si="11"/>
        <v/>
      </c>
      <c r="U568" s="50"/>
      <c r="V568" s="22" t="str">
        <f t="shared" si="10"/>
        <v/>
      </c>
    </row>
    <row r="569" spans="1:22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50" t="str">
        <f t="shared" si="11"/>
        <v/>
      </c>
      <c r="U569" s="50"/>
      <c r="V569" s="22" t="str">
        <f t="shared" si="10"/>
        <v/>
      </c>
    </row>
    <row r="570" spans="1:22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50" t="str">
        <f t="shared" si="11"/>
        <v/>
      </c>
      <c r="U570" s="50"/>
      <c r="V570" s="22" t="str">
        <f t="shared" si="10"/>
        <v/>
      </c>
    </row>
    <row r="571" spans="1:22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50" t="str">
        <f t="shared" si="11"/>
        <v/>
      </c>
      <c r="U571" s="50"/>
      <c r="V571" s="22" t="str">
        <f t="shared" si="10"/>
        <v/>
      </c>
    </row>
    <row r="572" spans="1:22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50" t="str">
        <f t="shared" si="11"/>
        <v/>
      </c>
      <c r="U572" s="50"/>
      <c r="V572" s="22" t="str">
        <f t="shared" si="10"/>
        <v/>
      </c>
    </row>
    <row r="573" spans="1:22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50" t="str">
        <f t="shared" si="11"/>
        <v/>
      </c>
      <c r="U573" s="50"/>
      <c r="V573" s="22" t="str">
        <f t="shared" si="10"/>
        <v/>
      </c>
    </row>
    <row r="574" spans="1:22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50" t="str">
        <f t="shared" si="11"/>
        <v/>
      </c>
      <c r="U574" s="50"/>
      <c r="V574" s="22" t="str">
        <f t="shared" si="10"/>
        <v/>
      </c>
    </row>
    <row r="575" spans="1:22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50" t="str">
        <f t="shared" si="11"/>
        <v/>
      </c>
      <c r="U575" s="50"/>
      <c r="V575" s="22" t="str">
        <f t="shared" si="10"/>
        <v/>
      </c>
    </row>
    <row r="576" spans="1:22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50" t="str">
        <f t="shared" si="11"/>
        <v/>
      </c>
      <c r="U576" s="50"/>
      <c r="V576" s="22" t="str">
        <f t="shared" si="10"/>
        <v/>
      </c>
    </row>
    <row r="577" spans="1:22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50" t="str">
        <f t="shared" si="11"/>
        <v/>
      </c>
      <c r="U577" s="50"/>
      <c r="V577" s="22" t="str">
        <f t="shared" si="10"/>
        <v/>
      </c>
    </row>
    <row r="578" spans="1:22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50" t="str">
        <f t="shared" si="11"/>
        <v/>
      </c>
      <c r="U578" s="50"/>
      <c r="V578" s="22" t="str">
        <f t="shared" si="10"/>
        <v/>
      </c>
    </row>
    <row r="579" spans="1:22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50" t="str">
        <f t="shared" ref="T579:T642" si="12">IF(A579="", "",IF(L579&gt;O579,"",NETWORKDAYS.INTL(L579,O579,1,FERIADOS)))</f>
        <v/>
      </c>
      <c r="U579" s="50"/>
      <c r="V579" s="22" t="str">
        <f t="shared" si="10"/>
        <v/>
      </c>
    </row>
    <row r="580" spans="1:22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50" t="str">
        <f t="shared" si="12"/>
        <v/>
      </c>
      <c r="U580" s="50"/>
      <c r="V580" s="22" t="str">
        <f t="shared" si="10"/>
        <v/>
      </c>
    </row>
    <row r="581" spans="1:22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50" t="str">
        <f t="shared" si="12"/>
        <v/>
      </c>
      <c r="U581" s="50"/>
      <c r="V581" s="22" t="str">
        <f t="shared" si="10"/>
        <v/>
      </c>
    </row>
    <row r="582" spans="1:22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50" t="str">
        <f t="shared" si="12"/>
        <v/>
      </c>
      <c r="U582" s="50"/>
      <c r="V582" s="22" t="str">
        <f t="shared" si="10"/>
        <v/>
      </c>
    </row>
    <row r="583" spans="1:22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50" t="str">
        <f t="shared" si="12"/>
        <v/>
      </c>
      <c r="U583" s="50"/>
      <c r="V583" s="22" t="str">
        <f t="shared" si="10"/>
        <v/>
      </c>
    </row>
    <row r="584" spans="1:22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50" t="str">
        <f t="shared" si="12"/>
        <v/>
      </c>
      <c r="U584" s="50"/>
      <c r="V584" s="22" t="str">
        <f t="shared" si="10"/>
        <v/>
      </c>
    </row>
    <row r="585" spans="1:22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50" t="str">
        <f t="shared" si="12"/>
        <v/>
      </c>
      <c r="U585" s="50"/>
      <c r="V585" s="22" t="str">
        <f t="shared" si="10"/>
        <v/>
      </c>
    </row>
    <row r="586" spans="1:22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50" t="str">
        <f t="shared" si="12"/>
        <v/>
      </c>
      <c r="U586" s="50"/>
      <c r="V586" s="22" t="str">
        <f t="shared" si="10"/>
        <v/>
      </c>
    </row>
    <row r="587" spans="1:22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50" t="str">
        <f t="shared" si="12"/>
        <v/>
      </c>
      <c r="U587" s="50"/>
      <c r="V587" s="22" t="str">
        <f t="shared" si="10"/>
        <v/>
      </c>
    </row>
    <row r="588" spans="1:22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50" t="str">
        <f t="shared" si="12"/>
        <v/>
      </c>
      <c r="U588" s="50"/>
      <c r="V588" s="22" t="str">
        <f t="shared" si="10"/>
        <v/>
      </c>
    </row>
    <row r="589" spans="1:22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50" t="str">
        <f t="shared" si="12"/>
        <v/>
      </c>
      <c r="U589" s="50"/>
      <c r="V589" s="22" t="str">
        <f t="shared" si="10"/>
        <v/>
      </c>
    </row>
    <row r="590" spans="1:22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50" t="str">
        <f t="shared" si="12"/>
        <v/>
      </c>
      <c r="U590" s="50"/>
      <c r="V590" s="22" t="str">
        <f t="shared" si="10"/>
        <v/>
      </c>
    </row>
    <row r="591" spans="1:22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50" t="str">
        <f t="shared" si="12"/>
        <v/>
      </c>
      <c r="U591" s="50"/>
      <c r="V591" s="22" t="str">
        <f t="shared" si="10"/>
        <v/>
      </c>
    </row>
    <row r="592" spans="1:22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50" t="str">
        <f t="shared" si="12"/>
        <v/>
      </c>
      <c r="U592" s="50"/>
      <c r="V592" s="22" t="str">
        <f t="shared" si="10"/>
        <v/>
      </c>
    </row>
    <row r="593" spans="1:22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50" t="str">
        <f t="shared" si="12"/>
        <v/>
      </c>
      <c r="U593" s="50"/>
      <c r="V593" s="22" t="str">
        <f t="shared" si="10"/>
        <v/>
      </c>
    </row>
    <row r="594" spans="1:22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50" t="str">
        <f t="shared" si="12"/>
        <v/>
      </c>
      <c r="U594" s="50"/>
      <c r="V594" s="22" t="str">
        <f t="shared" si="10"/>
        <v/>
      </c>
    </row>
    <row r="595" spans="1:22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50" t="str">
        <f t="shared" si="12"/>
        <v/>
      </c>
      <c r="U595" s="50"/>
      <c r="V595" s="22" t="str">
        <f t="shared" si="10"/>
        <v/>
      </c>
    </row>
    <row r="596" spans="1:22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50" t="str">
        <f t="shared" si="12"/>
        <v/>
      </c>
      <c r="U596" s="50"/>
      <c r="V596" s="22" t="str">
        <f t="shared" si="10"/>
        <v/>
      </c>
    </row>
    <row r="597" spans="1:22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50" t="str">
        <f t="shared" si="12"/>
        <v/>
      </c>
      <c r="U597" s="50"/>
      <c r="V597" s="22" t="str">
        <f t="shared" si="10"/>
        <v/>
      </c>
    </row>
    <row r="598" spans="1:22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50" t="str">
        <f t="shared" si="12"/>
        <v/>
      </c>
      <c r="U598" s="50"/>
      <c r="V598" s="22" t="str">
        <f t="shared" si="10"/>
        <v/>
      </c>
    </row>
    <row r="599" spans="1:22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50" t="str">
        <f t="shared" si="12"/>
        <v/>
      </c>
      <c r="U599" s="50"/>
      <c r="V599" s="22" t="str">
        <f t="shared" si="10"/>
        <v/>
      </c>
    </row>
    <row r="600" spans="1:22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50" t="str">
        <f t="shared" si="12"/>
        <v/>
      </c>
      <c r="U600" s="50"/>
      <c r="V600" s="22" t="str">
        <f t="shared" si="10"/>
        <v/>
      </c>
    </row>
    <row r="601" spans="1:22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50" t="str">
        <f t="shared" si="12"/>
        <v/>
      </c>
      <c r="U601" s="50"/>
      <c r="V601" s="22" t="str">
        <f t="shared" si="10"/>
        <v/>
      </c>
    </row>
    <row r="602" spans="1:22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50" t="str">
        <f t="shared" si="12"/>
        <v/>
      </c>
      <c r="U602" s="50"/>
      <c r="V602" s="22" t="str">
        <f t="shared" si="10"/>
        <v/>
      </c>
    </row>
    <row r="603" spans="1:22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50" t="str">
        <f t="shared" si="12"/>
        <v/>
      </c>
      <c r="U603" s="50"/>
      <c r="V603" s="22" t="str">
        <f t="shared" si="10"/>
        <v/>
      </c>
    </row>
    <row r="604" spans="1:22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50" t="str">
        <f t="shared" si="12"/>
        <v/>
      </c>
      <c r="U604" s="50"/>
      <c r="V604" s="22" t="str">
        <f t="shared" si="10"/>
        <v/>
      </c>
    </row>
    <row r="605" spans="1:22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50" t="str">
        <f t="shared" si="12"/>
        <v/>
      </c>
      <c r="U605" s="50"/>
      <c r="V605" s="22" t="str">
        <f t="shared" si="10"/>
        <v/>
      </c>
    </row>
    <row r="606" spans="1:22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50" t="str">
        <f t="shared" si="12"/>
        <v/>
      </c>
      <c r="U606" s="50"/>
      <c r="V606" s="22" t="str">
        <f t="shared" si="10"/>
        <v/>
      </c>
    </row>
    <row r="607" spans="1:22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50" t="str">
        <f t="shared" si="12"/>
        <v/>
      </c>
      <c r="U607" s="50"/>
      <c r="V607" s="22" t="str">
        <f t="shared" si="10"/>
        <v/>
      </c>
    </row>
    <row r="608" spans="1:22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50" t="str">
        <f t="shared" si="12"/>
        <v/>
      </c>
      <c r="U608" s="50"/>
      <c r="V608" s="22" t="str">
        <f t="shared" si="10"/>
        <v/>
      </c>
    </row>
    <row r="609" spans="1:22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50" t="str">
        <f t="shared" si="12"/>
        <v/>
      </c>
      <c r="U609" s="50"/>
      <c r="V609" s="22" t="str">
        <f t="shared" si="10"/>
        <v/>
      </c>
    </row>
    <row r="610" spans="1:22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50" t="str">
        <f t="shared" si="12"/>
        <v/>
      </c>
      <c r="U610" s="50"/>
      <c r="V610" s="22" t="str">
        <f t="shared" si="10"/>
        <v/>
      </c>
    </row>
    <row r="611" spans="1:22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50" t="str">
        <f t="shared" si="12"/>
        <v/>
      </c>
      <c r="U611" s="50"/>
      <c r="V611" s="22" t="str">
        <f t="shared" si="10"/>
        <v/>
      </c>
    </row>
    <row r="612" spans="1:22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50" t="str">
        <f t="shared" si="12"/>
        <v/>
      </c>
      <c r="U612" s="50"/>
      <c r="V612" s="22" t="str">
        <f t="shared" si="10"/>
        <v/>
      </c>
    </row>
    <row r="613" spans="1:22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50" t="str">
        <f t="shared" si="12"/>
        <v/>
      </c>
      <c r="U613" s="50"/>
      <c r="V613" s="22" t="str">
        <f t="shared" si="10"/>
        <v/>
      </c>
    </row>
    <row r="614" spans="1:22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50" t="str">
        <f t="shared" si="12"/>
        <v/>
      </c>
      <c r="U614" s="50"/>
      <c r="V614" s="22" t="str">
        <f t="shared" si="10"/>
        <v/>
      </c>
    </row>
    <row r="615" spans="1:22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50" t="str">
        <f t="shared" si="12"/>
        <v/>
      </c>
      <c r="U615" s="50"/>
      <c r="V615" s="22" t="str">
        <f t="shared" si="10"/>
        <v/>
      </c>
    </row>
    <row r="616" spans="1:22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50" t="str">
        <f t="shared" si="12"/>
        <v/>
      </c>
      <c r="U616" s="50"/>
      <c r="V616" s="22" t="str">
        <f t="shared" si="10"/>
        <v/>
      </c>
    </row>
    <row r="617" spans="1:22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50" t="str">
        <f t="shared" si="12"/>
        <v/>
      </c>
      <c r="U617" s="50"/>
      <c r="V617" s="22" t="str">
        <f t="shared" si="10"/>
        <v/>
      </c>
    </row>
    <row r="618" spans="1:22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50" t="str">
        <f t="shared" si="12"/>
        <v/>
      </c>
      <c r="U618" s="50"/>
      <c r="V618" s="22" t="str">
        <f t="shared" si="10"/>
        <v/>
      </c>
    </row>
    <row r="619" spans="1:22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50" t="str">
        <f t="shared" si="12"/>
        <v/>
      </c>
      <c r="U619" s="50"/>
      <c r="V619" s="22" t="str">
        <f t="shared" si="10"/>
        <v/>
      </c>
    </row>
    <row r="620" spans="1:22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50" t="str">
        <f t="shared" si="12"/>
        <v/>
      </c>
      <c r="U620" s="50"/>
      <c r="V620" s="22" t="str">
        <f t="shared" si="10"/>
        <v/>
      </c>
    </row>
    <row r="621" spans="1:22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50" t="str">
        <f t="shared" si="12"/>
        <v/>
      </c>
      <c r="U621" s="50"/>
      <c r="V621" s="22" t="str">
        <f t="shared" si="10"/>
        <v/>
      </c>
    </row>
    <row r="622" spans="1:22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50" t="str">
        <f t="shared" si="12"/>
        <v/>
      </c>
      <c r="U622" s="50"/>
      <c r="V622" s="22" t="str">
        <f t="shared" si="10"/>
        <v/>
      </c>
    </row>
    <row r="623" spans="1:22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50" t="str">
        <f t="shared" si="12"/>
        <v/>
      </c>
      <c r="U623" s="50"/>
      <c r="V623" s="22" t="str">
        <f t="shared" si="10"/>
        <v/>
      </c>
    </row>
    <row r="624" spans="1:22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50" t="str">
        <f t="shared" si="12"/>
        <v/>
      </c>
      <c r="U624" s="50"/>
      <c r="V624" s="22" t="str">
        <f t="shared" si="10"/>
        <v/>
      </c>
    </row>
    <row r="625" spans="1:22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50" t="str">
        <f t="shared" si="12"/>
        <v/>
      </c>
      <c r="U625" s="50"/>
      <c r="V625" s="22" t="str">
        <f t="shared" si="10"/>
        <v/>
      </c>
    </row>
    <row r="626" spans="1:22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50" t="str">
        <f t="shared" si="12"/>
        <v/>
      </c>
      <c r="U626" s="50"/>
      <c r="V626" s="22" t="str">
        <f t="shared" si="10"/>
        <v/>
      </c>
    </row>
    <row r="627" spans="1:22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50" t="str">
        <f t="shared" si="12"/>
        <v/>
      </c>
      <c r="U627" s="50"/>
      <c r="V627" s="22" t="str">
        <f t="shared" si="10"/>
        <v/>
      </c>
    </row>
    <row r="628" spans="1:22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50" t="str">
        <f t="shared" si="12"/>
        <v/>
      </c>
      <c r="U628" s="50"/>
      <c r="V628" s="22" t="str">
        <f t="shared" si="10"/>
        <v/>
      </c>
    </row>
    <row r="629" spans="1:22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50" t="str">
        <f t="shared" si="12"/>
        <v/>
      </c>
      <c r="U629" s="50"/>
      <c r="V629" s="22" t="str">
        <f t="shared" si="10"/>
        <v/>
      </c>
    </row>
    <row r="630" spans="1:22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50" t="str">
        <f t="shared" si="12"/>
        <v/>
      </c>
      <c r="U630" s="50"/>
      <c r="V630" s="22" t="str">
        <f t="shared" si="10"/>
        <v/>
      </c>
    </row>
    <row r="631" spans="1:22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50" t="str">
        <f t="shared" si="12"/>
        <v/>
      </c>
      <c r="U631" s="50"/>
      <c r="V631" s="22" t="str">
        <f t="shared" si="10"/>
        <v/>
      </c>
    </row>
    <row r="632" spans="1:22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50" t="str">
        <f t="shared" si="12"/>
        <v/>
      </c>
      <c r="U632" s="50"/>
      <c r="V632" s="22" t="str">
        <f t="shared" si="10"/>
        <v/>
      </c>
    </row>
    <row r="633" spans="1:22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50" t="str">
        <f t="shared" si="12"/>
        <v/>
      </c>
      <c r="U633" s="50"/>
      <c r="V633" s="22" t="str">
        <f t="shared" si="10"/>
        <v/>
      </c>
    </row>
    <row r="634" spans="1:22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50" t="str">
        <f t="shared" si="12"/>
        <v/>
      </c>
      <c r="U634" s="50"/>
      <c r="V634" s="22" t="str">
        <f t="shared" si="10"/>
        <v/>
      </c>
    </row>
    <row r="635" spans="1:22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50" t="str">
        <f t="shared" si="12"/>
        <v/>
      </c>
      <c r="U635" s="50"/>
      <c r="V635" s="22" t="str">
        <f t="shared" si="10"/>
        <v/>
      </c>
    </row>
    <row r="636" spans="1:22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50" t="str">
        <f t="shared" si="12"/>
        <v/>
      </c>
      <c r="U636" s="50"/>
      <c r="V636" s="22" t="str">
        <f t="shared" si="10"/>
        <v/>
      </c>
    </row>
    <row r="637" spans="1:22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50" t="str">
        <f t="shared" si="12"/>
        <v/>
      </c>
      <c r="U637" s="50"/>
      <c r="V637" s="22" t="str">
        <f t="shared" si="10"/>
        <v/>
      </c>
    </row>
    <row r="638" spans="1:22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50" t="str">
        <f t="shared" si="12"/>
        <v/>
      </c>
      <c r="U638" s="50"/>
      <c r="V638" s="22" t="str">
        <f t="shared" si="10"/>
        <v/>
      </c>
    </row>
    <row r="639" spans="1:22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50" t="str">
        <f t="shared" si="12"/>
        <v/>
      </c>
      <c r="U639" s="50"/>
      <c r="V639" s="22" t="str">
        <f t="shared" si="10"/>
        <v/>
      </c>
    </row>
    <row r="640" spans="1:22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50" t="str">
        <f t="shared" si="12"/>
        <v/>
      </c>
      <c r="U640" s="50"/>
      <c r="V640" s="22" t="str">
        <f t="shared" si="10"/>
        <v/>
      </c>
    </row>
    <row r="641" spans="1:22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50" t="str">
        <f t="shared" si="12"/>
        <v/>
      </c>
      <c r="U641" s="50"/>
      <c r="V641" s="22" t="str">
        <f t="shared" si="10"/>
        <v/>
      </c>
    </row>
    <row r="642" spans="1:22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50" t="str">
        <f t="shared" si="12"/>
        <v/>
      </c>
      <c r="U642" s="50"/>
      <c r="V642" s="22" t="str">
        <f t="shared" si="10"/>
        <v/>
      </c>
    </row>
    <row r="643" spans="1:22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50" t="str">
        <f t="shared" ref="T643:T706" si="13">IF(A643="", "",IF(L643&gt;O643,"",NETWORKDAYS.INTL(L643,O643,1,FERIADOS)))</f>
        <v/>
      </c>
      <c r="U643" s="50"/>
      <c r="V643" s="22" t="str">
        <f t="shared" si="10"/>
        <v/>
      </c>
    </row>
    <row r="644" spans="1:22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50" t="str">
        <f t="shared" si="13"/>
        <v/>
      </c>
      <c r="U644" s="50"/>
      <c r="V644" s="22" t="str">
        <f t="shared" si="10"/>
        <v/>
      </c>
    </row>
    <row r="645" spans="1:22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50" t="str">
        <f t="shared" si="13"/>
        <v/>
      </c>
      <c r="U645" s="50"/>
      <c r="V645" s="22" t="str">
        <f t="shared" si="10"/>
        <v/>
      </c>
    </row>
    <row r="646" spans="1:22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50" t="str">
        <f t="shared" si="13"/>
        <v/>
      </c>
      <c r="U646" s="50"/>
      <c r="V646" s="22" t="str">
        <f t="shared" si="10"/>
        <v/>
      </c>
    </row>
    <row r="647" spans="1:22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50" t="str">
        <f t="shared" si="13"/>
        <v/>
      </c>
      <c r="U647" s="50"/>
      <c r="V647" s="22" t="str">
        <f t="shared" si="10"/>
        <v/>
      </c>
    </row>
    <row r="648" spans="1:22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50" t="str">
        <f t="shared" si="13"/>
        <v/>
      </c>
      <c r="U648" s="50"/>
      <c r="V648" s="22" t="str">
        <f t="shared" si="10"/>
        <v/>
      </c>
    </row>
    <row r="649" spans="1:22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50" t="str">
        <f t="shared" si="13"/>
        <v/>
      </c>
      <c r="U649" s="50"/>
      <c r="V649" s="22" t="str">
        <f t="shared" si="10"/>
        <v/>
      </c>
    </row>
    <row r="650" spans="1:22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50" t="str">
        <f t="shared" si="13"/>
        <v/>
      </c>
      <c r="U650" s="50"/>
      <c r="V650" s="22" t="str">
        <f t="shared" si="10"/>
        <v/>
      </c>
    </row>
    <row r="651" spans="1:22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50" t="str">
        <f t="shared" si="13"/>
        <v/>
      </c>
      <c r="U651" s="50"/>
      <c r="V651" s="22" t="str">
        <f t="shared" si="10"/>
        <v/>
      </c>
    </row>
    <row r="652" spans="1:22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50" t="str">
        <f t="shared" si="13"/>
        <v/>
      </c>
      <c r="U652" s="50"/>
      <c r="V652" s="22" t="str">
        <f t="shared" si="10"/>
        <v/>
      </c>
    </row>
    <row r="653" spans="1:22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50" t="str">
        <f t="shared" si="13"/>
        <v/>
      </c>
      <c r="U653" s="50"/>
      <c r="V653" s="22" t="str">
        <f t="shared" si="10"/>
        <v/>
      </c>
    </row>
    <row r="654" spans="1:22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50" t="str">
        <f t="shared" si="13"/>
        <v/>
      </c>
      <c r="U654" s="50"/>
      <c r="V654" s="22" t="str">
        <f t="shared" si="10"/>
        <v/>
      </c>
    </row>
    <row r="655" spans="1:22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50" t="str">
        <f t="shared" si="13"/>
        <v/>
      </c>
      <c r="U655" s="50"/>
      <c r="V655" s="22" t="str">
        <f t="shared" si="10"/>
        <v/>
      </c>
    </row>
    <row r="656" spans="1:22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50" t="str">
        <f t="shared" si="13"/>
        <v/>
      </c>
      <c r="U656" s="50"/>
      <c r="V656" s="22" t="str">
        <f t="shared" si="10"/>
        <v/>
      </c>
    </row>
    <row r="657" spans="1:22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50" t="str">
        <f t="shared" si="13"/>
        <v/>
      </c>
      <c r="U657" s="50"/>
      <c r="V657" s="22" t="str">
        <f t="shared" si="10"/>
        <v/>
      </c>
    </row>
    <row r="658" spans="1:22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50" t="str">
        <f t="shared" si="13"/>
        <v/>
      </c>
      <c r="U658" s="50"/>
      <c r="V658" s="22" t="str">
        <f t="shared" si="10"/>
        <v/>
      </c>
    </row>
    <row r="659" spans="1:22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50" t="str">
        <f t="shared" si="13"/>
        <v/>
      </c>
      <c r="U659" s="50"/>
      <c r="V659" s="22" t="str">
        <f t="shared" si="10"/>
        <v/>
      </c>
    </row>
    <row r="660" spans="1:22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50" t="str">
        <f t="shared" si="13"/>
        <v/>
      </c>
      <c r="U660" s="50"/>
      <c r="V660" s="22" t="str">
        <f t="shared" si="10"/>
        <v/>
      </c>
    </row>
    <row r="661" spans="1:22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50" t="str">
        <f t="shared" si="13"/>
        <v/>
      </c>
      <c r="U661" s="50"/>
      <c r="V661" s="22" t="str">
        <f t="shared" si="10"/>
        <v/>
      </c>
    </row>
    <row r="662" spans="1:22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50" t="str">
        <f t="shared" si="13"/>
        <v/>
      </c>
      <c r="U662" s="50"/>
      <c r="V662" s="22" t="str">
        <f t="shared" si="10"/>
        <v/>
      </c>
    </row>
    <row r="663" spans="1:22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50" t="str">
        <f t="shared" si="13"/>
        <v/>
      </c>
      <c r="U663" s="50"/>
      <c r="V663" s="22" t="str">
        <f t="shared" si="10"/>
        <v/>
      </c>
    </row>
    <row r="664" spans="1:22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50" t="str">
        <f t="shared" si="13"/>
        <v/>
      </c>
      <c r="U664" s="50"/>
      <c r="V664" s="22" t="str">
        <f t="shared" si="10"/>
        <v/>
      </c>
    </row>
    <row r="665" spans="1:22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50" t="str">
        <f t="shared" si="13"/>
        <v/>
      </c>
      <c r="U665" s="50"/>
      <c r="V665" s="22" t="str">
        <f t="shared" si="10"/>
        <v/>
      </c>
    </row>
    <row r="666" spans="1:22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50" t="str">
        <f t="shared" si="13"/>
        <v/>
      </c>
      <c r="U666" s="50"/>
      <c r="V666" s="22" t="str">
        <f t="shared" si="10"/>
        <v/>
      </c>
    </row>
    <row r="667" spans="1:22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50" t="str">
        <f t="shared" si="13"/>
        <v/>
      </c>
      <c r="U667" s="50"/>
      <c r="V667" s="22" t="str">
        <f t="shared" si="10"/>
        <v/>
      </c>
    </row>
    <row r="668" spans="1:22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50" t="str">
        <f t="shared" si="13"/>
        <v/>
      </c>
      <c r="U668" s="50"/>
      <c r="V668" s="22" t="str">
        <f t="shared" si="10"/>
        <v/>
      </c>
    </row>
    <row r="669" spans="1:22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50" t="str">
        <f t="shared" si="13"/>
        <v/>
      </c>
      <c r="U669" s="50"/>
      <c r="V669" s="22" t="str">
        <f t="shared" si="10"/>
        <v/>
      </c>
    </row>
    <row r="670" spans="1:22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50" t="str">
        <f t="shared" si="13"/>
        <v/>
      </c>
      <c r="U670" s="50"/>
      <c r="V670" s="22" t="str">
        <f t="shared" si="10"/>
        <v/>
      </c>
    </row>
    <row r="671" spans="1:22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50" t="str">
        <f t="shared" si="13"/>
        <v/>
      </c>
      <c r="U671" s="50"/>
      <c r="V671" s="22" t="str">
        <f t="shared" si="10"/>
        <v/>
      </c>
    </row>
    <row r="672" spans="1:22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50" t="str">
        <f t="shared" si="13"/>
        <v/>
      </c>
      <c r="U672" s="50"/>
      <c r="V672" s="22" t="str">
        <f t="shared" si="10"/>
        <v/>
      </c>
    </row>
    <row r="673" spans="1:22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50" t="str">
        <f t="shared" si="13"/>
        <v/>
      </c>
      <c r="U673" s="50"/>
      <c r="V673" s="22" t="str">
        <f t="shared" si="10"/>
        <v/>
      </c>
    </row>
    <row r="674" spans="1:22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50" t="str">
        <f t="shared" si="13"/>
        <v/>
      </c>
      <c r="U674" s="50"/>
      <c r="V674" s="22" t="str">
        <f t="shared" si="10"/>
        <v/>
      </c>
    </row>
    <row r="675" spans="1:22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50" t="str">
        <f t="shared" si="13"/>
        <v/>
      </c>
      <c r="U675" s="50"/>
      <c r="V675" s="22" t="str">
        <f t="shared" si="10"/>
        <v/>
      </c>
    </row>
    <row r="676" spans="1:22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50" t="str">
        <f t="shared" si="13"/>
        <v/>
      </c>
      <c r="U676" s="50"/>
      <c r="V676" s="22" t="str">
        <f t="shared" si="10"/>
        <v/>
      </c>
    </row>
    <row r="677" spans="1:22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50" t="str">
        <f t="shared" si="13"/>
        <v/>
      </c>
      <c r="U677" s="50"/>
      <c r="V677" s="22" t="str">
        <f t="shared" si="10"/>
        <v/>
      </c>
    </row>
    <row r="678" spans="1:22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50" t="str">
        <f t="shared" si="13"/>
        <v/>
      </c>
      <c r="U678" s="50"/>
      <c r="V678" s="22" t="str">
        <f t="shared" si="10"/>
        <v/>
      </c>
    </row>
    <row r="679" spans="1:22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50" t="str">
        <f t="shared" si="13"/>
        <v/>
      </c>
      <c r="U679" s="50"/>
      <c r="V679" s="22" t="str">
        <f t="shared" si="10"/>
        <v/>
      </c>
    </row>
    <row r="680" spans="1:22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50" t="str">
        <f t="shared" si="13"/>
        <v/>
      </c>
      <c r="U680" s="50"/>
      <c r="V680" s="22" t="str">
        <f t="shared" si="10"/>
        <v/>
      </c>
    </row>
    <row r="681" spans="1:22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50" t="str">
        <f t="shared" si="13"/>
        <v/>
      </c>
      <c r="U681" s="50"/>
      <c r="V681" s="22" t="str">
        <f t="shared" si="10"/>
        <v/>
      </c>
    </row>
    <row r="682" spans="1:22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50" t="str">
        <f t="shared" si="13"/>
        <v/>
      </c>
      <c r="U682" s="50"/>
      <c r="V682" s="22" t="str">
        <f t="shared" si="10"/>
        <v/>
      </c>
    </row>
    <row r="683" spans="1:22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50" t="str">
        <f t="shared" si="13"/>
        <v/>
      </c>
      <c r="U683" s="50"/>
      <c r="V683" s="22" t="str">
        <f t="shared" si="10"/>
        <v/>
      </c>
    </row>
    <row r="684" spans="1:22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50" t="str">
        <f t="shared" si="13"/>
        <v/>
      </c>
      <c r="U684" s="50"/>
      <c r="V684" s="22" t="str">
        <f t="shared" si="10"/>
        <v/>
      </c>
    </row>
    <row r="685" spans="1:22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50" t="str">
        <f t="shared" si="13"/>
        <v/>
      </c>
      <c r="U685" s="50"/>
      <c r="V685" s="22" t="str">
        <f t="shared" si="10"/>
        <v/>
      </c>
    </row>
    <row r="686" spans="1:22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50" t="str">
        <f t="shared" si="13"/>
        <v/>
      </c>
      <c r="U686" s="50"/>
      <c r="V686" s="22" t="str">
        <f t="shared" si="10"/>
        <v/>
      </c>
    </row>
    <row r="687" spans="1:22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50" t="str">
        <f t="shared" si="13"/>
        <v/>
      </c>
      <c r="U687" s="50"/>
      <c r="V687" s="22" t="str">
        <f t="shared" si="10"/>
        <v/>
      </c>
    </row>
    <row r="688" spans="1:22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50" t="str">
        <f t="shared" si="13"/>
        <v/>
      </c>
      <c r="U688" s="50"/>
      <c r="V688" s="22" t="str">
        <f t="shared" si="10"/>
        <v/>
      </c>
    </row>
    <row r="689" spans="1:22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50" t="str">
        <f t="shared" si="13"/>
        <v/>
      </c>
      <c r="U689" s="50"/>
      <c r="V689" s="22" t="str">
        <f t="shared" si="10"/>
        <v/>
      </c>
    </row>
    <row r="690" spans="1:22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50" t="str">
        <f t="shared" si="13"/>
        <v/>
      </c>
      <c r="U690" s="50"/>
      <c r="V690" s="22" t="str">
        <f t="shared" si="10"/>
        <v/>
      </c>
    </row>
    <row r="691" spans="1:22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50" t="str">
        <f t="shared" si="13"/>
        <v/>
      </c>
      <c r="U691" s="50"/>
      <c r="V691" s="22" t="str">
        <f t="shared" si="10"/>
        <v/>
      </c>
    </row>
    <row r="692" spans="1:22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50" t="str">
        <f t="shared" si="13"/>
        <v/>
      </c>
      <c r="U692" s="50"/>
      <c r="V692" s="22" t="str">
        <f t="shared" si="10"/>
        <v/>
      </c>
    </row>
    <row r="693" spans="1:22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50" t="str">
        <f t="shared" si="13"/>
        <v/>
      </c>
      <c r="U693" s="50"/>
      <c r="V693" s="22" t="str">
        <f t="shared" si="10"/>
        <v/>
      </c>
    </row>
    <row r="694" spans="1:22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50" t="str">
        <f t="shared" si="13"/>
        <v/>
      </c>
      <c r="U694" s="50"/>
      <c r="V694" s="22" t="str">
        <f t="shared" si="10"/>
        <v/>
      </c>
    </row>
    <row r="695" spans="1:22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50" t="str">
        <f t="shared" si="13"/>
        <v/>
      </c>
      <c r="U695" s="50"/>
      <c r="V695" s="22" t="str">
        <f t="shared" si="10"/>
        <v/>
      </c>
    </row>
    <row r="696" spans="1:22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50" t="str">
        <f t="shared" si="13"/>
        <v/>
      </c>
      <c r="U696" s="50"/>
      <c r="V696" s="22" t="str">
        <f t="shared" si="10"/>
        <v/>
      </c>
    </row>
    <row r="697" spans="1:22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50" t="str">
        <f t="shared" si="13"/>
        <v/>
      </c>
      <c r="U697" s="50"/>
      <c r="V697" s="22" t="str">
        <f t="shared" si="10"/>
        <v/>
      </c>
    </row>
    <row r="698" spans="1:22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50" t="str">
        <f t="shared" si="13"/>
        <v/>
      </c>
      <c r="U698" s="50"/>
      <c r="V698" s="22" t="str">
        <f t="shared" si="10"/>
        <v/>
      </c>
    </row>
    <row r="699" spans="1:22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50" t="str">
        <f t="shared" si="13"/>
        <v/>
      </c>
      <c r="U699" s="50"/>
      <c r="V699" s="22" t="str">
        <f t="shared" si="10"/>
        <v/>
      </c>
    </row>
    <row r="700" spans="1:22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50" t="str">
        <f t="shared" si="13"/>
        <v/>
      </c>
      <c r="U700" s="50"/>
      <c r="V700" s="22" t="str">
        <f t="shared" si="10"/>
        <v/>
      </c>
    </row>
    <row r="701" spans="1:22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50" t="str">
        <f t="shared" si="13"/>
        <v/>
      </c>
      <c r="U701" s="50"/>
      <c r="V701" s="22" t="str">
        <f t="shared" si="10"/>
        <v/>
      </c>
    </row>
    <row r="702" spans="1:22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50" t="str">
        <f t="shared" si="13"/>
        <v/>
      </c>
      <c r="U702" s="50"/>
      <c r="V702" s="22" t="str">
        <f t="shared" si="10"/>
        <v/>
      </c>
    </row>
    <row r="703" spans="1:22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50" t="str">
        <f t="shared" si="13"/>
        <v/>
      </c>
      <c r="U703" s="50"/>
      <c r="V703" s="22" t="str">
        <f t="shared" si="10"/>
        <v/>
      </c>
    </row>
    <row r="704" spans="1:22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50" t="str">
        <f t="shared" si="13"/>
        <v/>
      </c>
      <c r="U704" s="50"/>
      <c r="V704" s="22" t="str">
        <f t="shared" si="10"/>
        <v/>
      </c>
    </row>
    <row r="705" spans="1:22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50" t="str">
        <f t="shared" si="13"/>
        <v/>
      </c>
      <c r="U705" s="50"/>
      <c r="V705" s="22" t="str">
        <f t="shared" si="10"/>
        <v/>
      </c>
    </row>
    <row r="706" spans="1:22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50" t="str">
        <f t="shared" si="13"/>
        <v/>
      </c>
      <c r="U706" s="50"/>
      <c r="V706" s="22" t="str">
        <f t="shared" si="10"/>
        <v/>
      </c>
    </row>
    <row r="707" spans="1:22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50" t="str">
        <f t="shared" ref="T707:T770" si="14">IF(A707="", "",IF(L707&gt;O707,"",NETWORKDAYS.INTL(L707,O707,1,FERIADOS)))</f>
        <v/>
      </c>
      <c r="U707" s="50"/>
      <c r="V707" s="22" t="str">
        <f t="shared" si="10"/>
        <v/>
      </c>
    </row>
    <row r="708" spans="1:22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50" t="str">
        <f t="shared" si="14"/>
        <v/>
      </c>
      <c r="U708" s="50"/>
      <c r="V708" s="22" t="str">
        <f t="shared" si="10"/>
        <v/>
      </c>
    </row>
    <row r="709" spans="1:22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50" t="str">
        <f t="shared" si="14"/>
        <v/>
      </c>
      <c r="U709" s="50"/>
      <c r="V709" s="22" t="str">
        <f t="shared" si="10"/>
        <v/>
      </c>
    </row>
    <row r="710" spans="1:22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50" t="str">
        <f t="shared" si="14"/>
        <v/>
      </c>
      <c r="U710" s="50"/>
      <c r="V710" s="22" t="str">
        <f t="shared" si="10"/>
        <v/>
      </c>
    </row>
    <row r="711" spans="1:22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50" t="str">
        <f t="shared" si="14"/>
        <v/>
      </c>
      <c r="U711" s="50"/>
      <c r="V711" s="22" t="str">
        <f t="shared" si="10"/>
        <v/>
      </c>
    </row>
    <row r="712" spans="1:22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50" t="str">
        <f t="shared" si="14"/>
        <v/>
      </c>
      <c r="U712" s="50"/>
      <c r="V712" s="22" t="str">
        <f t="shared" si="10"/>
        <v/>
      </c>
    </row>
    <row r="713" spans="1:22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50" t="str">
        <f t="shared" si="14"/>
        <v/>
      </c>
      <c r="U713" s="50"/>
      <c r="V713" s="22" t="str">
        <f t="shared" si="10"/>
        <v/>
      </c>
    </row>
    <row r="714" spans="1:22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50" t="str">
        <f t="shared" si="14"/>
        <v/>
      </c>
      <c r="U714" s="50"/>
      <c r="V714" s="22" t="str">
        <f t="shared" si="10"/>
        <v/>
      </c>
    </row>
    <row r="715" spans="1:22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50" t="str">
        <f t="shared" si="14"/>
        <v/>
      </c>
      <c r="U715" s="50"/>
      <c r="V715" s="22" t="str">
        <f t="shared" si="10"/>
        <v/>
      </c>
    </row>
    <row r="716" spans="1:22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50" t="str">
        <f t="shared" si="14"/>
        <v/>
      </c>
      <c r="U716" s="50"/>
      <c r="V716" s="22" t="str">
        <f t="shared" si="10"/>
        <v/>
      </c>
    </row>
    <row r="717" spans="1:22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50" t="str">
        <f t="shared" si="14"/>
        <v/>
      </c>
      <c r="U717" s="50"/>
      <c r="V717" s="22" t="str">
        <f t="shared" si="10"/>
        <v/>
      </c>
    </row>
    <row r="718" spans="1:22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50" t="str">
        <f t="shared" si="14"/>
        <v/>
      </c>
      <c r="U718" s="50"/>
      <c r="V718" s="22" t="str">
        <f t="shared" si="10"/>
        <v/>
      </c>
    </row>
    <row r="719" spans="1:22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50" t="str">
        <f t="shared" si="14"/>
        <v/>
      </c>
      <c r="U719" s="50"/>
      <c r="V719" s="22" t="str">
        <f t="shared" si="10"/>
        <v/>
      </c>
    </row>
    <row r="720" spans="1:22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50" t="str">
        <f t="shared" si="14"/>
        <v/>
      </c>
      <c r="U720" s="50"/>
      <c r="V720" s="22" t="str">
        <f t="shared" si="10"/>
        <v/>
      </c>
    </row>
    <row r="721" spans="1:22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50" t="str">
        <f t="shared" si="14"/>
        <v/>
      </c>
      <c r="U721" s="50"/>
      <c r="V721" s="22" t="str">
        <f t="shared" si="10"/>
        <v/>
      </c>
    </row>
    <row r="722" spans="1:22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50" t="str">
        <f t="shared" si="14"/>
        <v/>
      </c>
      <c r="U722" s="50"/>
      <c r="V722" s="22" t="str">
        <f t="shared" si="10"/>
        <v/>
      </c>
    </row>
    <row r="723" spans="1:22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50" t="str">
        <f t="shared" si="14"/>
        <v/>
      </c>
      <c r="U723" s="50"/>
      <c r="V723" s="22" t="str">
        <f t="shared" si="10"/>
        <v/>
      </c>
    </row>
    <row r="724" spans="1:22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50" t="str">
        <f t="shared" si="14"/>
        <v/>
      </c>
      <c r="U724" s="50"/>
      <c r="V724" s="22" t="str">
        <f t="shared" si="10"/>
        <v/>
      </c>
    </row>
    <row r="725" spans="1:22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50" t="str">
        <f t="shared" si="14"/>
        <v/>
      </c>
      <c r="U725" s="50"/>
      <c r="V725" s="22" t="str">
        <f t="shared" si="10"/>
        <v/>
      </c>
    </row>
    <row r="726" spans="1:22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50" t="str">
        <f t="shared" si="14"/>
        <v/>
      </c>
      <c r="U726" s="50"/>
      <c r="V726" s="22" t="str">
        <f t="shared" si="10"/>
        <v/>
      </c>
    </row>
    <row r="727" spans="1:22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50" t="str">
        <f t="shared" si="14"/>
        <v/>
      </c>
      <c r="U727" s="50"/>
      <c r="V727" s="22" t="str">
        <f t="shared" si="10"/>
        <v/>
      </c>
    </row>
    <row r="728" spans="1:22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50" t="str">
        <f t="shared" si="14"/>
        <v/>
      </c>
      <c r="U728" s="50"/>
      <c r="V728" s="22" t="str">
        <f t="shared" si="10"/>
        <v/>
      </c>
    </row>
    <row r="729" spans="1:22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50" t="str">
        <f t="shared" si="14"/>
        <v/>
      </c>
      <c r="U729" s="50"/>
      <c r="V729" s="22" t="str">
        <f t="shared" si="10"/>
        <v/>
      </c>
    </row>
    <row r="730" spans="1:22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50" t="str">
        <f t="shared" si="14"/>
        <v/>
      </c>
      <c r="U730" s="50"/>
      <c r="V730" s="22" t="str">
        <f t="shared" si="10"/>
        <v/>
      </c>
    </row>
    <row r="731" spans="1:22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50" t="str">
        <f t="shared" si="14"/>
        <v/>
      </c>
      <c r="U731" s="50"/>
      <c r="V731" s="22" t="str">
        <f t="shared" si="10"/>
        <v/>
      </c>
    </row>
    <row r="732" spans="1:22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50" t="str">
        <f t="shared" si="14"/>
        <v/>
      </c>
      <c r="U732" s="50"/>
      <c r="V732" s="22" t="str">
        <f t="shared" si="10"/>
        <v/>
      </c>
    </row>
    <row r="733" spans="1:22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50" t="str">
        <f t="shared" si="14"/>
        <v/>
      </c>
      <c r="U733" s="50"/>
      <c r="V733" s="22" t="str">
        <f t="shared" si="10"/>
        <v/>
      </c>
    </row>
    <row r="734" spans="1:22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50" t="str">
        <f t="shared" si="14"/>
        <v/>
      </c>
      <c r="U734" s="50"/>
      <c r="V734" s="22" t="str">
        <f t="shared" si="10"/>
        <v/>
      </c>
    </row>
    <row r="735" spans="1:22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50" t="str">
        <f t="shared" si="14"/>
        <v/>
      </c>
      <c r="U735" s="50"/>
      <c r="V735" s="22" t="str">
        <f t="shared" si="10"/>
        <v/>
      </c>
    </row>
    <row r="736" spans="1:22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50" t="str">
        <f t="shared" si="14"/>
        <v/>
      </c>
      <c r="U736" s="50"/>
      <c r="V736" s="22" t="str">
        <f t="shared" si="10"/>
        <v/>
      </c>
    </row>
    <row r="737" spans="1:22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50" t="str">
        <f t="shared" si="14"/>
        <v/>
      </c>
      <c r="U737" s="50"/>
      <c r="V737" s="22" t="str">
        <f t="shared" si="10"/>
        <v/>
      </c>
    </row>
    <row r="738" spans="1:22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50" t="str">
        <f t="shared" si="14"/>
        <v/>
      </c>
      <c r="U738" s="50"/>
      <c r="V738" s="22" t="str">
        <f t="shared" si="10"/>
        <v/>
      </c>
    </row>
    <row r="739" spans="1:22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50" t="str">
        <f t="shared" si="14"/>
        <v/>
      </c>
      <c r="U739" s="50"/>
      <c r="V739" s="22" t="str">
        <f t="shared" si="10"/>
        <v/>
      </c>
    </row>
    <row r="740" spans="1:22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50" t="str">
        <f t="shared" si="14"/>
        <v/>
      </c>
      <c r="U740" s="50"/>
      <c r="V740" s="22" t="str">
        <f t="shared" si="10"/>
        <v/>
      </c>
    </row>
    <row r="741" spans="1:22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50" t="str">
        <f t="shared" si="14"/>
        <v/>
      </c>
      <c r="U741" s="50"/>
      <c r="V741" s="22" t="str">
        <f t="shared" si="10"/>
        <v/>
      </c>
    </row>
    <row r="742" spans="1:22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50" t="str">
        <f t="shared" si="14"/>
        <v/>
      </c>
      <c r="U742" s="50"/>
      <c r="V742" s="22" t="str">
        <f t="shared" si="10"/>
        <v/>
      </c>
    </row>
    <row r="743" spans="1:22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50" t="str">
        <f t="shared" si="14"/>
        <v/>
      </c>
      <c r="U743" s="50"/>
      <c r="V743" s="22" t="str">
        <f t="shared" si="10"/>
        <v/>
      </c>
    </row>
    <row r="744" spans="1:22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50" t="str">
        <f t="shared" si="14"/>
        <v/>
      </c>
      <c r="U744" s="50"/>
      <c r="V744" s="22" t="str">
        <f t="shared" si="10"/>
        <v/>
      </c>
    </row>
    <row r="745" spans="1:22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50" t="str">
        <f t="shared" si="14"/>
        <v/>
      </c>
      <c r="U745" s="50"/>
      <c r="V745" s="22" t="str">
        <f t="shared" si="10"/>
        <v/>
      </c>
    </row>
    <row r="746" spans="1:22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50" t="str">
        <f t="shared" si="14"/>
        <v/>
      </c>
      <c r="U746" s="50"/>
      <c r="V746" s="22" t="str">
        <f t="shared" si="10"/>
        <v/>
      </c>
    </row>
    <row r="747" spans="1:22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50" t="str">
        <f t="shared" si="14"/>
        <v/>
      </c>
      <c r="U747" s="50"/>
      <c r="V747" s="22" t="str">
        <f t="shared" si="10"/>
        <v/>
      </c>
    </row>
    <row r="748" spans="1:22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50" t="str">
        <f t="shared" si="14"/>
        <v/>
      </c>
      <c r="U748" s="50"/>
      <c r="V748" s="22" t="str">
        <f t="shared" si="10"/>
        <v/>
      </c>
    </row>
    <row r="749" spans="1:22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50" t="str">
        <f t="shared" si="14"/>
        <v/>
      </c>
      <c r="U749" s="50"/>
      <c r="V749" s="22" t="str">
        <f t="shared" si="10"/>
        <v/>
      </c>
    </row>
    <row r="750" spans="1:22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50" t="str">
        <f t="shared" si="14"/>
        <v/>
      </c>
      <c r="U750" s="50"/>
      <c r="V750" s="22" t="str">
        <f t="shared" si="10"/>
        <v/>
      </c>
    </row>
    <row r="751" spans="1:22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50" t="str">
        <f t="shared" si="14"/>
        <v/>
      </c>
      <c r="U751" s="50"/>
      <c r="V751" s="22" t="str">
        <f t="shared" si="10"/>
        <v/>
      </c>
    </row>
    <row r="752" spans="1:22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50" t="str">
        <f t="shared" si="14"/>
        <v/>
      </c>
      <c r="U752" s="50"/>
      <c r="V752" s="22" t="str">
        <f t="shared" si="10"/>
        <v/>
      </c>
    </row>
    <row r="753" spans="1:22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50" t="str">
        <f t="shared" si="14"/>
        <v/>
      </c>
      <c r="U753" s="50"/>
      <c r="V753" s="22" t="str">
        <f t="shared" si="10"/>
        <v/>
      </c>
    </row>
    <row r="754" spans="1:22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50" t="str">
        <f t="shared" si="14"/>
        <v/>
      </c>
      <c r="U754" s="50"/>
      <c r="V754" s="22" t="str">
        <f t="shared" si="10"/>
        <v/>
      </c>
    </row>
    <row r="755" spans="1:22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50" t="str">
        <f t="shared" si="14"/>
        <v/>
      </c>
      <c r="U755" s="50"/>
      <c r="V755" s="22" t="str">
        <f t="shared" si="10"/>
        <v/>
      </c>
    </row>
    <row r="756" spans="1:22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50" t="str">
        <f t="shared" si="14"/>
        <v/>
      </c>
      <c r="U756" s="50"/>
      <c r="V756" s="22" t="str">
        <f t="shared" si="10"/>
        <v/>
      </c>
    </row>
    <row r="757" spans="1:22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50" t="str">
        <f t="shared" si="14"/>
        <v/>
      </c>
      <c r="U757" s="50"/>
      <c r="V757" s="22" t="str">
        <f t="shared" si="10"/>
        <v/>
      </c>
    </row>
    <row r="758" spans="1:22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50" t="str">
        <f t="shared" si="14"/>
        <v/>
      </c>
      <c r="U758" s="50"/>
      <c r="V758" s="22" t="str">
        <f t="shared" si="10"/>
        <v/>
      </c>
    </row>
    <row r="759" spans="1:22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50" t="str">
        <f t="shared" si="14"/>
        <v/>
      </c>
      <c r="U759" s="50"/>
      <c r="V759" s="22" t="str">
        <f t="shared" si="10"/>
        <v/>
      </c>
    </row>
    <row r="760" spans="1:22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50" t="str">
        <f t="shared" si="14"/>
        <v/>
      </c>
      <c r="U760" s="50"/>
      <c r="V760" s="22" t="str">
        <f t="shared" si="10"/>
        <v/>
      </c>
    </row>
    <row r="761" spans="1:22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50" t="str">
        <f t="shared" si="14"/>
        <v/>
      </c>
      <c r="U761" s="50"/>
      <c r="V761" s="22" t="str">
        <f t="shared" si="10"/>
        <v/>
      </c>
    </row>
    <row r="762" spans="1:22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50" t="str">
        <f t="shared" si="14"/>
        <v/>
      </c>
      <c r="U762" s="50"/>
      <c r="V762" s="22" t="str">
        <f t="shared" si="10"/>
        <v/>
      </c>
    </row>
    <row r="763" spans="1:22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50" t="str">
        <f t="shared" si="14"/>
        <v/>
      </c>
      <c r="U763" s="50"/>
      <c r="V763" s="22" t="str">
        <f t="shared" si="10"/>
        <v/>
      </c>
    </row>
    <row r="764" spans="1:22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50" t="str">
        <f t="shared" si="14"/>
        <v/>
      </c>
      <c r="U764" s="50"/>
      <c r="V764" s="22" t="str">
        <f t="shared" si="10"/>
        <v/>
      </c>
    </row>
    <row r="765" spans="1:22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50" t="str">
        <f t="shared" si="14"/>
        <v/>
      </c>
      <c r="U765" s="50"/>
      <c r="V765" s="22" t="str">
        <f t="shared" si="10"/>
        <v/>
      </c>
    </row>
    <row r="766" spans="1:22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50" t="str">
        <f t="shared" si="14"/>
        <v/>
      </c>
      <c r="U766" s="50"/>
      <c r="V766" s="22" t="str">
        <f t="shared" si="10"/>
        <v/>
      </c>
    </row>
    <row r="767" spans="1:22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50" t="str">
        <f t="shared" si="14"/>
        <v/>
      </c>
      <c r="U767" s="50"/>
      <c r="V767" s="22" t="str">
        <f t="shared" si="10"/>
        <v/>
      </c>
    </row>
    <row r="768" spans="1:22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50" t="str">
        <f t="shared" si="14"/>
        <v/>
      </c>
      <c r="U768" s="50"/>
      <c r="V768" s="22" t="str">
        <f t="shared" ref="V768:V1000" si="15">IF(A768="","","TIPO 2")</f>
        <v/>
      </c>
    </row>
    <row r="769" spans="1:22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50" t="str">
        <f t="shared" si="14"/>
        <v/>
      </c>
      <c r="U769" s="50"/>
      <c r="V769" s="22" t="str">
        <f t="shared" si="15"/>
        <v/>
      </c>
    </row>
    <row r="770" spans="1:22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50" t="str">
        <f t="shared" si="14"/>
        <v/>
      </c>
      <c r="U770" s="50"/>
      <c r="V770" s="22" t="str">
        <f t="shared" si="15"/>
        <v/>
      </c>
    </row>
    <row r="771" spans="1:22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50" t="str">
        <f t="shared" ref="T771:T834" si="16">IF(A771="", "",IF(L771&gt;O771,"",NETWORKDAYS.INTL(L771,O771,1,FERIADOS)))</f>
        <v/>
      </c>
      <c r="U771" s="50"/>
      <c r="V771" s="22" t="str">
        <f t="shared" si="15"/>
        <v/>
      </c>
    </row>
    <row r="772" spans="1:22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50" t="str">
        <f t="shared" si="16"/>
        <v/>
      </c>
      <c r="U772" s="50"/>
      <c r="V772" s="22" t="str">
        <f t="shared" si="15"/>
        <v/>
      </c>
    </row>
    <row r="773" spans="1:22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50" t="str">
        <f t="shared" si="16"/>
        <v/>
      </c>
      <c r="U773" s="50"/>
      <c r="V773" s="22" t="str">
        <f t="shared" si="15"/>
        <v/>
      </c>
    </row>
    <row r="774" spans="1:22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50" t="str">
        <f t="shared" si="16"/>
        <v/>
      </c>
      <c r="U774" s="50"/>
      <c r="V774" s="22" t="str">
        <f t="shared" si="15"/>
        <v/>
      </c>
    </row>
    <row r="775" spans="1:22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50" t="str">
        <f t="shared" si="16"/>
        <v/>
      </c>
      <c r="U775" s="50"/>
      <c r="V775" s="22" t="str">
        <f t="shared" si="15"/>
        <v/>
      </c>
    </row>
    <row r="776" spans="1:22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50" t="str">
        <f t="shared" si="16"/>
        <v/>
      </c>
      <c r="U776" s="50"/>
      <c r="V776" s="22" t="str">
        <f t="shared" si="15"/>
        <v/>
      </c>
    </row>
    <row r="777" spans="1:22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50" t="str">
        <f t="shared" si="16"/>
        <v/>
      </c>
      <c r="U777" s="50"/>
      <c r="V777" s="22" t="str">
        <f t="shared" si="15"/>
        <v/>
      </c>
    </row>
    <row r="778" spans="1:22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50" t="str">
        <f t="shared" si="16"/>
        <v/>
      </c>
      <c r="U778" s="50"/>
      <c r="V778" s="22" t="str">
        <f t="shared" si="15"/>
        <v/>
      </c>
    </row>
    <row r="779" spans="1:22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50" t="str">
        <f t="shared" si="16"/>
        <v/>
      </c>
      <c r="U779" s="50"/>
      <c r="V779" s="22" t="str">
        <f t="shared" si="15"/>
        <v/>
      </c>
    </row>
    <row r="780" spans="1:22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50" t="str">
        <f t="shared" si="16"/>
        <v/>
      </c>
      <c r="U780" s="50"/>
      <c r="V780" s="22" t="str">
        <f t="shared" si="15"/>
        <v/>
      </c>
    </row>
    <row r="781" spans="1:22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50" t="str">
        <f t="shared" si="16"/>
        <v/>
      </c>
      <c r="U781" s="50"/>
      <c r="V781" s="22" t="str">
        <f t="shared" si="15"/>
        <v/>
      </c>
    </row>
    <row r="782" spans="1:22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50" t="str">
        <f t="shared" si="16"/>
        <v/>
      </c>
      <c r="U782" s="50"/>
      <c r="V782" s="22" t="str">
        <f t="shared" si="15"/>
        <v/>
      </c>
    </row>
    <row r="783" spans="1:22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50" t="str">
        <f t="shared" si="16"/>
        <v/>
      </c>
      <c r="U783" s="50"/>
      <c r="V783" s="22" t="str">
        <f t="shared" si="15"/>
        <v/>
      </c>
    </row>
    <row r="784" spans="1:22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50" t="str">
        <f t="shared" si="16"/>
        <v/>
      </c>
      <c r="U784" s="50"/>
      <c r="V784" s="22" t="str">
        <f t="shared" si="15"/>
        <v/>
      </c>
    </row>
    <row r="785" spans="1:22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50" t="str">
        <f t="shared" si="16"/>
        <v/>
      </c>
      <c r="U785" s="50"/>
      <c r="V785" s="22" t="str">
        <f t="shared" si="15"/>
        <v/>
      </c>
    </row>
    <row r="786" spans="1:22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50" t="str">
        <f t="shared" si="16"/>
        <v/>
      </c>
      <c r="U786" s="50"/>
      <c r="V786" s="22" t="str">
        <f t="shared" si="15"/>
        <v/>
      </c>
    </row>
    <row r="787" spans="1:22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50" t="str">
        <f t="shared" si="16"/>
        <v/>
      </c>
      <c r="U787" s="50"/>
      <c r="V787" s="22" t="str">
        <f t="shared" si="15"/>
        <v/>
      </c>
    </row>
    <row r="788" spans="1:22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50" t="str">
        <f t="shared" si="16"/>
        <v/>
      </c>
      <c r="U788" s="50"/>
      <c r="V788" s="22" t="str">
        <f t="shared" si="15"/>
        <v/>
      </c>
    </row>
    <row r="789" spans="1:22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50" t="str">
        <f t="shared" si="16"/>
        <v/>
      </c>
      <c r="U789" s="50"/>
      <c r="V789" s="22" t="str">
        <f t="shared" si="15"/>
        <v/>
      </c>
    </row>
    <row r="790" spans="1:22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50" t="str">
        <f t="shared" si="16"/>
        <v/>
      </c>
      <c r="U790" s="50"/>
      <c r="V790" s="22" t="str">
        <f t="shared" si="15"/>
        <v/>
      </c>
    </row>
    <row r="791" spans="1:22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50" t="str">
        <f t="shared" si="16"/>
        <v/>
      </c>
      <c r="U791" s="50"/>
      <c r="V791" s="22" t="str">
        <f t="shared" si="15"/>
        <v/>
      </c>
    </row>
    <row r="792" spans="1:22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50" t="str">
        <f t="shared" si="16"/>
        <v/>
      </c>
      <c r="U792" s="50"/>
      <c r="V792" s="22" t="str">
        <f t="shared" si="15"/>
        <v/>
      </c>
    </row>
    <row r="793" spans="1:22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50" t="str">
        <f t="shared" si="16"/>
        <v/>
      </c>
      <c r="U793" s="50"/>
      <c r="V793" s="22" t="str">
        <f t="shared" si="15"/>
        <v/>
      </c>
    </row>
    <row r="794" spans="1:22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50" t="str">
        <f t="shared" si="16"/>
        <v/>
      </c>
      <c r="U794" s="50"/>
      <c r="V794" s="22" t="str">
        <f t="shared" si="15"/>
        <v/>
      </c>
    </row>
    <row r="795" spans="1:22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50" t="str">
        <f t="shared" si="16"/>
        <v/>
      </c>
      <c r="U795" s="50"/>
      <c r="V795" s="22" t="str">
        <f t="shared" si="15"/>
        <v/>
      </c>
    </row>
    <row r="796" spans="1:22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50" t="str">
        <f t="shared" si="16"/>
        <v/>
      </c>
      <c r="U796" s="50"/>
      <c r="V796" s="22" t="str">
        <f t="shared" si="15"/>
        <v/>
      </c>
    </row>
    <row r="797" spans="1:22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50" t="str">
        <f t="shared" si="16"/>
        <v/>
      </c>
      <c r="U797" s="50"/>
      <c r="V797" s="22" t="str">
        <f t="shared" si="15"/>
        <v/>
      </c>
    </row>
    <row r="798" spans="1:22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50" t="str">
        <f t="shared" si="16"/>
        <v/>
      </c>
      <c r="U798" s="50"/>
      <c r="V798" s="22" t="str">
        <f t="shared" si="15"/>
        <v/>
      </c>
    </row>
    <row r="799" spans="1:22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50" t="str">
        <f t="shared" si="16"/>
        <v/>
      </c>
      <c r="U799" s="50"/>
      <c r="V799" s="22" t="str">
        <f t="shared" si="15"/>
        <v/>
      </c>
    </row>
    <row r="800" spans="1:22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50" t="str">
        <f t="shared" si="16"/>
        <v/>
      </c>
      <c r="U800" s="50"/>
      <c r="V800" s="22" t="str">
        <f t="shared" si="15"/>
        <v/>
      </c>
    </row>
    <row r="801" spans="1:22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50" t="str">
        <f t="shared" si="16"/>
        <v/>
      </c>
      <c r="U801" s="50"/>
      <c r="V801" s="22" t="str">
        <f t="shared" si="15"/>
        <v/>
      </c>
    </row>
    <row r="802" spans="1:22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50" t="str">
        <f t="shared" si="16"/>
        <v/>
      </c>
      <c r="U802" s="50"/>
      <c r="V802" s="22" t="str">
        <f t="shared" si="15"/>
        <v/>
      </c>
    </row>
    <row r="803" spans="1:22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50" t="str">
        <f t="shared" si="16"/>
        <v/>
      </c>
      <c r="U803" s="50"/>
      <c r="V803" s="22" t="str">
        <f t="shared" si="15"/>
        <v/>
      </c>
    </row>
    <row r="804" spans="1:22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50" t="str">
        <f t="shared" si="16"/>
        <v/>
      </c>
      <c r="U804" s="50"/>
      <c r="V804" s="22" t="str">
        <f t="shared" si="15"/>
        <v/>
      </c>
    </row>
    <row r="805" spans="1:22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50" t="str">
        <f t="shared" si="16"/>
        <v/>
      </c>
      <c r="U805" s="50"/>
      <c r="V805" s="22" t="str">
        <f t="shared" si="15"/>
        <v/>
      </c>
    </row>
    <row r="806" spans="1:22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50" t="str">
        <f t="shared" si="16"/>
        <v/>
      </c>
      <c r="U806" s="50"/>
      <c r="V806" s="22" t="str">
        <f t="shared" si="15"/>
        <v/>
      </c>
    </row>
    <row r="807" spans="1:22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50" t="str">
        <f t="shared" si="16"/>
        <v/>
      </c>
      <c r="U807" s="50"/>
      <c r="V807" s="22" t="str">
        <f t="shared" si="15"/>
        <v/>
      </c>
    </row>
    <row r="808" spans="1:22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50" t="str">
        <f t="shared" si="16"/>
        <v/>
      </c>
      <c r="U808" s="50"/>
      <c r="V808" s="22" t="str">
        <f t="shared" si="15"/>
        <v/>
      </c>
    </row>
    <row r="809" spans="1:22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50" t="str">
        <f t="shared" si="16"/>
        <v/>
      </c>
      <c r="U809" s="50"/>
      <c r="V809" s="22" t="str">
        <f t="shared" si="15"/>
        <v/>
      </c>
    </row>
    <row r="810" spans="1:22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50" t="str">
        <f t="shared" si="16"/>
        <v/>
      </c>
      <c r="U810" s="50"/>
      <c r="V810" s="22" t="str">
        <f t="shared" si="15"/>
        <v/>
      </c>
    </row>
    <row r="811" spans="1:22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50" t="str">
        <f t="shared" si="16"/>
        <v/>
      </c>
      <c r="U811" s="50"/>
      <c r="V811" s="22" t="str">
        <f t="shared" si="15"/>
        <v/>
      </c>
    </row>
    <row r="812" spans="1:22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50" t="str">
        <f t="shared" si="16"/>
        <v/>
      </c>
      <c r="U812" s="50"/>
      <c r="V812" s="22" t="str">
        <f t="shared" si="15"/>
        <v/>
      </c>
    </row>
    <row r="813" spans="1:22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50" t="str">
        <f t="shared" si="16"/>
        <v/>
      </c>
      <c r="U813" s="50"/>
      <c r="V813" s="22" t="str">
        <f t="shared" si="15"/>
        <v/>
      </c>
    </row>
    <row r="814" spans="1:22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50" t="str">
        <f t="shared" si="16"/>
        <v/>
      </c>
      <c r="U814" s="50"/>
      <c r="V814" s="22" t="str">
        <f t="shared" si="15"/>
        <v/>
      </c>
    </row>
    <row r="815" spans="1:22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50" t="str">
        <f t="shared" si="16"/>
        <v/>
      </c>
      <c r="U815" s="50"/>
      <c r="V815" s="22" t="str">
        <f t="shared" si="15"/>
        <v/>
      </c>
    </row>
    <row r="816" spans="1:22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50" t="str">
        <f t="shared" si="16"/>
        <v/>
      </c>
      <c r="U816" s="50"/>
      <c r="V816" s="22" t="str">
        <f t="shared" si="15"/>
        <v/>
      </c>
    </row>
    <row r="817" spans="1:22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50" t="str">
        <f t="shared" si="16"/>
        <v/>
      </c>
      <c r="U817" s="50"/>
      <c r="V817" s="22" t="str">
        <f t="shared" si="15"/>
        <v/>
      </c>
    </row>
    <row r="818" spans="1:22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50" t="str">
        <f t="shared" si="16"/>
        <v/>
      </c>
      <c r="U818" s="50"/>
      <c r="V818" s="22" t="str">
        <f t="shared" si="15"/>
        <v/>
      </c>
    </row>
    <row r="819" spans="1:22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50" t="str">
        <f t="shared" si="16"/>
        <v/>
      </c>
      <c r="U819" s="50"/>
      <c r="V819" s="22" t="str">
        <f t="shared" si="15"/>
        <v/>
      </c>
    </row>
    <row r="820" spans="1:22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50" t="str">
        <f t="shared" si="16"/>
        <v/>
      </c>
      <c r="U820" s="50"/>
      <c r="V820" s="22" t="str">
        <f t="shared" si="15"/>
        <v/>
      </c>
    </row>
    <row r="821" spans="1:22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50" t="str">
        <f t="shared" si="16"/>
        <v/>
      </c>
      <c r="U821" s="50"/>
      <c r="V821" s="22" t="str">
        <f t="shared" si="15"/>
        <v/>
      </c>
    </row>
    <row r="822" spans="1:22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50" t="str">
        <f t="shared" si="16"/>
        <v/>
      </c>
      <c r="U822" s="50"/>
      <c r="V822" s="22" t="str">
        <f t="shared" si="15"/>
        <v/>
      </c>
    </row>
    <row r="823" spans="1:22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50" t="str">
        <f t="shared" si="16"/>
        <v/>
      </c>
      <c r="U823" s="50"/>
      <c r="V823" s="22" t="str">
        <f t="shared" si="15"/>
        <v/>
      </c>
    </row>
    <row r="824" spans="1:22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50" t="str">
        <f t="shared" si="16"/>
        <v/>
      </c>
      <c r="U824" s="50"/>
      <c r="V824" s="22" t="str">
        <f t="shared" si="15"/>
        <v/>
      </c>
    </row>
    <row r="825" spans="1:22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50" t="str">
        <f t="shared" si="16"/>
        <v/>
      </c>
      <c r="U825" s="50"/>
      <c r="V825" s="22" t="str">
        <f t="shared" si="15"/>
        <v/>
      </c>
    </row>
    <row r="826" spans="1:22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50" t="str">
        <f t="shared" si="16"/>
        <v/>
      </c>
      <c r="U826" s="50"/>
      <c r="V826" s="22" t="str">
        <f t="shared" si="15"/>
        <v/>
      </c>
    </row>
    <row r="827" spans="1:22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50" t="str">
        <f t="shared" si="16"/>
        <v/>
      </c>
      <c r="U827" s="50"/>
      <c r="V827" s="22" t="str">
        <f t="shared" si="15"/>
        <v/>
      </c>
    </row>
    <row r="828" spans="1:22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50" t="str">
        <f t="shared" si="16"/>
        <v/>
      </c>
      <c r="U828" s="50"/>
      <c r="V828" s="22" t="str">
        <f t="shared" si="15"/>
        <v/>
      </c>
    </row>
    <row r="829" spans="1:22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50" t="str">
        <f t="shared" si="16"/>
        <v/>
      </c>
      <c r="U829" s="50"/>
      <c r="V829" s="22" t="str">
        <f t="shared" si="15"/>
        <v/>
      </c>
    </row>
    <row r="830" spans="1:22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50" t="str">
        <f t="shared" si="16"/>
        <v/>
      </c>
      <c r="U830" s="50"/>
      <c r="V830" s="22" t="str">
        <f t="shared" si="15"/>
        <v/>
      </c>
    </row>
    <row r="831" spans="1:22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50" t="str">
        <f t="shared" si="16"/>
        <v/>
      </c>
      <c r="U831" s="50"/>
      <c r="V831" s="22" t="str">
        <f t="shared" si="15"/>
        <v/>
      </c>
    </row>
    <row r="832" spans="1:22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50" t="str">
        <f t="shared" si="16"/>
        <v/>
      </c>
      <c r="U832" s="50"/>
      <c r="V832" s="22" t="str">
        <f t="shared" si="15"/>
        <v/>
      </c>
    </row>
    <row r="833" spans="1:22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50" t="str">
        <f t="shared" si="16"/>
        <v/>
      </c>
      <c r="U833" s="50"/>
      <c r="V833" s="22" t="str">
        <f t="shared" si="15"/>
        <v/>
      </c>
    </row>
    <row r="834" spans="1:22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50" t="str">
        <f t="shared" si="16"/>
        <v/>
      </c>
      <c r="U834" s="50"/>
      <c r="V834" s="22" t="str">
        <f t="shared" si="15"/>
        <v/>
      </c>
    </row>
    <row r="835" spans="1:22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50" t="str">
        <f t="shared" ref="T835:T898" si="17">IF(A835="", "",IF(L835&gt;O835,"",NETWORKDAYS.INTL(L835,O835,1,FERIADOS)))</f>
        <v/>
      </c>
      <c r="U835" s="50"/>
      <c r="V835" s="22" t="str">
        <f t="shared" si="15"/>
        <v/>
      </c>
    </row>
    <row r="836" spans="1:22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50" t="str">
        <f t="shared" si="17"/>
        <v/>
      </c>
      <c r="U836" s="50"/>
      <c r="V836" s="22" t="str">
        <f t="shared" si="15"/>
        <v/>
      </c>
    </row>
    <row r="837" spans="1:22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50" t="str">
        <f t="shared" si="17"/>
        <v/>
      </c>
      <c r="U837" s="50"/>
      <c r="V837" s="22" t="str">
        <f t="shared" si="15"/>
        <v/>
      </c>
    </row>
    <row r="838" spans="1:22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50" t="str">
        <f t="shared" si="17"/>
        <v/>
      </c>
      <c r="U838" s="50"/>
      <c r="V838" s="22" t="str">
        <f t="shared" si="15"/>
        <v/>
      </c>
    </row>
    <row r="839" spans="1:22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50" t="str">
        <f t="shared" si="17"/>
        <v/>
      </c>
      <c r="U839" s="50"/>
      <c r="V839" s="22" t="str">
        <f t="shared" si="15"/>
        <v/>
      </c>
    </row>
    <row r="840" spans="1:22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50" t="str">
        <f t="shared" si="17"/>
        <v/>
      </c>
      <c r="U840" s="50"/>
      <c r="V840" s="22" t="str">
        <f t="shared" si="15"/>
        <v/>
      </c>
    </row>
    <row r="841" spans="1:22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50" t="str">
        <f t="shared" si="17"/>
        <v/>
      </c>
      <c r="U841" s="50"/>
      <c r="V841" s="22" t="str">
        <f t="shared" si="15"/>
        <v/>
      </c>
    </row>
    <row r="842" spans="1:22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50" t="str">
        <f t="shared" si="17"/>
        <v/>
      </c>
      <c r="U842" s="50"/>
      <c r="V842" s="22" t="str">
        <f t="shared" si="15"/>
        <v/>
      </c>
    </row>
    <row r="843" spans="1:22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50" t="str">
        <f t="shared" si="17"/>
        <v/>
      </c>
      <c r="U843" s="50"/>
      <c r="V843" s="22" t="str">
        <f t="shared" si="15"/>
        <v/>
      </c>
    </row>
    <row r="844" spans="1:22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50" t="str">
        <f t="shared" si="17"/>
        <v/>
      </c>
      <c r="U844" s="50"/>
      <c r="V844" s="22" t="str">
        <f t="shared" si="15"/>
        <v/>
      </c>
    </row>
    <row r="845" spans="1:22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50" t="str">
        <f t="shared" si="17"/>
        <v/>
      </c>
      <c r="U845" s="50"/>
      <c r="V845" s="22" t="str">
        <f t="shared" si="15"/>
        <v/>
      </c>
    </row>
    <row r="846" spans="1:22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50" t="str">
        <f t="shared" si="17"/>
        <v/>
      </c>
      <c r="U846" s="50"/>
      <c r="V846" s="22" t="str">
        <f t="shared" si="15"/>
        <v/>
      </c>
    </row>
    <row r="847" spans="1:22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50" t="str">
        <f t="shared" si="17"/>
        <v/>
      </c>
      <c r="U847" s="50"/>
      <c r="V847" s="22" t="str">
        <f t="shared" si="15"/>
        <v/>
      </c>
    </row>
    <row r="848" spans="1:22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50" t="str">
        <f t="shared" si="17"/>
        <v/>
      </c>
      <c r="U848" s="50"/>
      <c r="V848" s="22" t="str">
        <f t="shared" si="15"/>
        <v/>
      </c>
    </row>
    <row r="849" spans="1:22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50" t="str">
        <f t="shared" si="17"/>
        <v/>
      </c>
      <c r="U849" s="50"/>
      <c r="V849" s="22" t="str">
        <f t="shared" si="15"/>
        <v/>
      </c>
    </row>
    <row r="850" spans="1:22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50" t="str">
        <f t="shared" si="17"/>
        <v/>
      </c>
      <c r="U850" s="50"/>
      <c r="V850" s="22" t="str">
        <f t="shared" si="15"/>
        <v/>
      </c>
    </row>
    <row r="851" spans="1:22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50" t="str">
        <f t="shared" si="17"/>
        <v/>
      </c>
      <c r="U851" s="50"/>
      <c r="V851" s="22" t="str">
        <f t="shared" si="15"/>
        <v/>
      </c>
    </row>
    <row r="852" spans="1:22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50" t="str">
        <f t="shared" si="17"/>
        <v/>
      </c>
      <c r="U852" s="50"/>
      <c r="V852" s="22" t="str">
        <f t="shared" si="15"/>
        <v/>
      </c>
    </row>
    <row r="853" spans="1:22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50" t="str">
        <f t="shared" si="17"/>
        <v/>
      </c>
      <c r="U853" s="50"/>
      <c r="V853" s="22" t="str">
        <f t="shared" si="15"/>
        <v/>
      </c>
    </row>
    <row r="854" spans="1:22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50" t="str">
        <f t="shared" si="17"/>
        <v/>
      </c>
      <c r="U854" s="50"/>
      <c r="V854" s="22" t="str">
        <f t="shared" si="15"/>
        <v/>
      </c>
    </row>
    <row r="855" spans="1:22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50" t="str">
        <f t="shared" si="17"/>
        <v/>
      </c>
      <c r="U855" s="50"/>
      <c r="V855" s="22" t="str">
        <f t="shared" si="15"/>
        <v/>
      </c>
    </row>
    <row r="856" spans="1:22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50" t="str">
        <f t="shared" si="17"/>
        <v/>
      </c>
      <c r="U856" s="50"/>
      <c r="V856" s="22" t="str">
        <f t="shared" si="15"/>
        <v/>
      </c>
    </row>
    <row r="857" spans="1:22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50" t="str">
        <f t="shared" si="17"/>
        <v/>
      </c>
      <c r="U857" s="50"/>
      <c r="V857" s="22" t="str">
        <f t="shared" si="15"/>
        <v/>
      </c>
    </row>
    <row r="858" spans="1:22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50" t="str">
        <f t="shared" si="17"/>
        <v/>
      </c>
      <c r="U858" s="50"/>
      <c r="V858" s="22" t="str">
        <f t="shared" si="15"/>
        <v/>
      </c>
    </row>
    <row r="859" spans="1:22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50" t="str">
        <f t="shared" si="17"/>
        <v/>
      </c>
      <c r="U859" s="50"/>
      <c r="V859" s="22" t="str">
        <f t="shared" si="15"/>
        <v/>
      </c>
    </row>
    <row r="860" spans="1:22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50" t="str">
        <f t="shared" si="17"/>
        <v/>
      </c>
      <c r="U860" s="50"/>
      <c r="V860" s="22" t="str">
        <f t="shared" si="15"/>
        <v/>
      </c>
    </row>
    <row r="861" spans="1:22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50" t="str">
        <f t="shared" si="17"/>
        <v/>
      </c>
      <c r="U861" s="50"/>
      <c r="V861" s="22" t="str">
        <f t="shared" si="15"/>
        <v/>
      </c>
    </row>
    <row r="862" spans="1:22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50" t="str">
        <f t="shared" si="17"/>
        <v/>
      </c>
      <c r="U862" s="50"/>
      <c r="V862" s="22" t="str">
        <f t="shared" si="15"/>
        <v/>
      </c>
    </row>
    <row r="863" spans="1:22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50" t="str">
        <f t="shared" si="17"/>
        <v/>
      </c>
      <c r="U863" s="50"/>
      <c r="V863" s="22" t="str">
        <f t="shared" si="15"/>
        <v/>
      </c>
    </row>
    <row r="864" spans="1:22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50" t="str">
        <f t="shared" si="17"/>
        <v/>
      </c>
      <c r="U864" s="50"/>
      <c r="V864" s="22" t="str">
        <f t="shared" si="15"/>
        <v/>
      </c>
    </row>
    <row r="865" spans="1:22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50" t="str">
        <f t="shared" si="17"/>
        <v/>
      </c>
      <c r="U865" s="50"/>
      <c r="V865" s="22" t="str">
        <f t="shared" si="15"/>
        <v/>
      </c>
    </row>
    <row r="866" spans="1:22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50" t="str">
        <f t="shared" si="17"/>
        <v/>
      </c>
      <c r="U866" s="50"/>
      <c r="V866" s="22" t="str">
        <f t="shared" si="15"/>
        <v/>
      </c>
    </row>
    <row r="867" spans="1:22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50" t="str">
        <f t="shared" si="17"/>
        <v/>
      </c>
      <c r="U867" s="50"/>
      <c r="V867" s="22" t="str">
        <f t="shared" si="15"/>
        <v/>
      </c>
    </row>
    <row r="868" spans="1:22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50" t="str">
        <f t="shared" si="17"/>
        <v/>
      </c>
      <c r="U868" s="50"/>
      <c r="V868" s="22" t="str">
        <f t="shared" si="15"/>
        <v/>
      </c>
    </row>
    <row r="869" spans="1:22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50" t="str">
        <f t="shared" si="17"/>
        <v/>
      </c>
      <c r="U869" s="50"/>
      <c r="V869" s="22" t="str">
        <f t="shared" si="15"/>
        <v/>
      </c>
    </row>
    <row r="870" spans="1:22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50" t="str">
        <f t="shared" si="17"/>
        <v/>
      </c>
      <c r="U870" s="50"/>
      <c r="V870" s="22" t="str">
        <f t="shared" si="15"/>
        <v/>
      </c>
    </row>
    <row r="871" spans="1:22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50" t="str">
        <f t="shared" si="17"/>
        <v/>
      </c>
      <c r="U871" s="50"/>
      <c r="V871" s="22" t="str">
        <f t="shared" si="15"/>
        <v/>
      </c>
    </row>
    <row r="872" spans="1:22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50" t="str">
        <f t="shared" si="17"/>
        <v/>
      </c>
      <c r="U872" s="50"/>
      <c r="V872" s="22" t="str">
        <f t="shared" si="15"/>
        <v/>
      </c>
    </row>
    <row r="873" spans="1:22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50" t="str">
        <f t="shared" si="17"/>
        <v/>
      </c>
      <c r="U873" s="50"/>
      <c r="V873" s="22" t="str">
        <f t="shared" si="15"/>
        <v/>
      </c>
    </row>
    <row r="874" spans="1:22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50" t="str">
        <f t="shared" si="17"/>
        <v/>
      </c>
      <c r="U874" s="50"/>
      <c r="V874" s="22" t="str">
        <f t="shared" si="15"/>
        <v/>
      </c>
    </row>
    <row r="875" spans="1:22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50" t="str">
        <f t="shared" si="17"/>
        <v/>
      </c>
      <c r="U875" s="50"/>
      <c r="V875" s="22" t="str">
        <f t="shared" si="15"/>
        <v/>
      </c>
    </row>
    <row r="876" spans="1:22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50" t="str">
        <f t="shared" si="17"/>
        <v/>
      </c>
      <c r="U876" s="50"/>
      <c r="V876" s="22" t="str">
        <f t="shared" si="15"/>
        <v/>
      </c>
    </row>
    <row r="877" spans="1:22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50" t="str">
        <f t="shared" si="17"/>
        <v/>
      </c>
      <c r="U877" s="50"/>
      <c r="V877" s="22" t="str">
        <f t="shared" si="15"/>
        <v/>
      </c>
    </row>
    <row r="878" spans="1:22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50" t="str">
        <f t="shared" si="17"/>
        <v/>
      </c>
      <c r="U878" s="50"/>
      <c r="V878" s="22" t="str">
        <f t="shared" si="15"/>
        <v/>
      </c>
    </row>
    <row r="879" spans="1:22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50" t="str">
        <f t="shared" si="17"/>
        <v/>
      </c>
      <c r="U879" s="50"/>
      <c r="V879" s="22" t="str">
        <f t="shared" si="15"/>
        <v/>
      </c>
    </row>
    <row r="880" spans="1:22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50" t="str">
        <f t="shared" si="17"/>
        <v/>
      </c>
      <c r="U880" s="50"/>
      <c r="V880" s="22" t="str">
        <f t="shared" si="15"/>
        <v/>
      </c>
    </row>
    <row r="881" spans="1:22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50" t="str">
        <f t="shared" si="17"/>
        <v/>
      </c>
      <c r="U881" s="50"/>
      <c r="V881" s="22" t="str">
        <f t="shared" si="15"/>
        <v/>
      </c>
    </row>
    <row r="882" spans="1:22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50" t="str">
        <f t="shared" si="17"/>
        <v/>
      </c>
      <c r="U882" s="50"/>
      <c r="V882" s="22" t="str">
        <f t="shared" si="15"/>
        <v/>
      </c>
    </row>
    <row r="883" spans="1:22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50" t="str">
        <f t="shared" si="17"/>
        <v/>
      </c>
      <c r="U883" s="50"/>
      <c r="V883" s="22" t="str">
        <f t="shared" si="15"/>
        <v/>
      </c>
    </row>
    <row r="884" spans="1:22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50" t="str">
        <f t="shared" si="17"/>
        <v/>
      </c>
      <c r="U884" s="50"/>
      <c r="V884" s="22" t="str">
        <f t="shared" si="15"/>
        <v/>
      </c>
    </row>
    <row r="885" spans="1:22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50" t="str">
        <f t="shared" si="17"/>
        <v/>
      </c>
      <c r="U885" s="50"/>
      <c r="V885" s="22" t="str">
        <f t="shared" si="15"/>
        <v/>
      </c>
    </row>
    <row r="886" spans="1:22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50" t="str">
        <f t="shared" si="17"/>
        <v/>
      </c>
      <c r="U886" s="50"/>
      <c r="V886" s="22" t="str">
        <f t="shared" si="15"/>
        <v/>
      </c>
    </row>
    <row r="887" spans="1:22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50" t="str">
        <f t="shared" si="17"/>
        <v/>
      </c>
      <c r="U887" s="50"/>
      <c r="V887" s="22" t="str">
        <f t="shared" si="15"/>
        <v/>
      </c>
    </row>
    <row r="888" spans="1:22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50" t="str">
        <f t="shared" si="17"/>
        <v/>
      </c>
      <c r="U888" s="50"/>
      <c r="V888" s="22" t="str">
        <f t="shared" si="15"/>
        <v/>
      </c>
    </row>
    <row r="889" spans="1:22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50" t="str">
        <f t="shared" si="17"/>
        <v/>
      </c>
      <c r="U889" s="50"/>
      <c r="V889" s="22" t="str">
        <f t="shared" si="15"/>
        <v/>
      </c>
    </row>
    <row r="890" spans="1:22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50" t="str">
        <f t="shared" si="17"/>
        <v/>
      </c>
      <c r="U890" s="50"/>
      <c r="V890" s="22" t="str">
        <f t="shared" si="15"/>
        <v/>
      </c>
    </row>
    <row r="891" spans="1:22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50" t="str">
        <f t="shared" si="17"/>
        <v/>
      </c>
      <c r="U891" s="50"/>
      <c r="V891" s="22" t="str">
        <f t="shared" si="15"/>
        <v/>
      </c>
    </row>
    <row r="892" spans="1:22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50" t="str">
        <f t="shared" si="17"/>
        <v/>
      </c>
      <c r="U892" s="50"/>
      <c r="V892" s="22" t="str">
        <f t="shared" si="15"/>
        <v/>
      </c>
    </row>
    <row r="893" spans="1:22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50" t="str">
        <f t="shared" si="17"/>
        <v/>
      </c>
      <c r="U893" s="50"/>
      <c r="V893" s="22" t="str">
        <f t="shared" si="15"/>
        <v/>
      </c>
    </row>
    <row r="894" spans="1:22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50" t="str">
        <f t="shared" si="17"/>
        <v/>
      </c>
      <c r="U894" s="50"/>
      <c r="V894" s="22" t="str">
        <f t="shared" si="15"/>
        <v/>
      </c>
    </row>
    <row r="895" spans="1:22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50" t="str">
        <f t="shared" si="17"/>
        <v/>
      </c>
      <c r="U895" s="50"/>
      <c r="V895" s="22" t="str">
        <f t="shared" si="15"/>
        <v/>
      </c>
    </row>
    <row r="896" spans="1:22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50" t="str">
        <f t="shared" si="17"/>
        <v/>
      </c>
      <c r="U896" s="50"/>
      <c r="V896" s="22" t="str">
        <f t="shared" si="15"/>
        <v/>
      </c>
    </row>
    <row r="897" spans="1:22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50" t="str">
        <f t="shared" si="17"/>
        <v/>
      </c>
      <c r="U897" s="50"/>
      <c r="V897" s="22" t="str">
        <f t="shared" si="15"/>
        <v/>
      </c>
    </row>
    <row r="898" spans="1:22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50" t="str">
        <f t="shared" si="17"/>
        <v/>
      </c>
      <c r="U898" s="50"/>
      <c r="V898" s="22" t="str">
        <f t="shared" si="15"/>
        <v/>
      </c>
    </row>
    <row r="899" spans="1:22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50" t="str">
        <f t="shared" ref="T899:T962" si="18">IF(A899="", "",IF(L899&gt;O899,"",NETWORKDAYS.INTL(L899,O899,1,FERIADOS)))</f>
        <v/>
      </c>
      <c r="U899" s="50"/>
      <c r="V899" s="22" t="str">
        <f t="shared" si="15"/>
        <v/>
      </c>
    </row>
    <row r="900" spans="1:22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50" t="str">
        <f t="shared" si="18"/>
        <v/>
      </c>
      <c r="U900" s="50"/>
      <c r="V900" s="22" t="str">
        <f t="shared" si="15"/>
        <v/>
      </c>
    </row>
    <row r="901" spans="1:22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50" t="str">
        <f t="shared" si="18"/>
        <v/>
      </c>
      <c r="U901" s="50"/>
      <c r="V901" s="22" t="str">
        <f t="shared" si="15"/>
        <v/>
      </c>
    </row>
    <row r="902" spans="1:22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50" t="str">
        <f t="shared" si="18"/>
        <v/>
      </c>
      <c r="U902" s="50"/>
      <c r="V902" s="22" t="str">
        <f t="shared" si="15"/>
        <v/>
      </c>
    </row>
    <row r="903" spans="1:22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50" t="str">
        <f t="shared" si="18"/>
        <v/>
      </c>
      <c r="U903" s="50"/>
      <c r="V903" s="22" t="str">
        <f t="shared" si="15"/>
        <v/>
      </c>
    </row>
    <row r="904" spans="1:22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50" t="str">
        <f t="shared" si="18"/>
        <v/>
      </c>
      <c r="U904" s="50"/>
      <c r="V904" s="22" t="str">
        <f t="shared" si="15"/>
        <v/>
      </c>
    </row>
    <row r="905" spans="1:22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50" t="str">
        <f t="shared" si="18"/>
        <v/>
      </c>
      <c r="U905" s="50"/>
      <c r="V905" s="22" t="str">
        <f t="shared" si="15"/>
        <v/>
      </c>
    </row>
    <row r="906" spans="1:22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50" t="str">
        <f t="shared" si="18"/>
        <v/>
      </c>
      <c r="U906" s="50"/>
      <c r="V906" s="22" t="str">
        <f t="shared" si="15"/>
        <v/>
      </c>
    </row>
    <row r="907" spans="1:22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50" t="str">
        <f t="shared" si="18"/>
        <v/>
      </c>
      <c r="U907" s="50"/>
      <c r="V907" s="22" t="str">
        <f t="shared" si="15"/>
        <v/>
      </c>
    </row>
    <row r="908" spans="1:22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50" t="str">
        <f t="shared" si="18"/>
        <v/>
      </c>
      <c r="U908" s="50"/>
      <c r="V908" s="22" t="str">
        <f t="shared" si="15"/>
        <v/>
      </c>
    </row>
    <row r="909" spans="1:22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50" t="str">
        <f t="shared" si="18"/>
        <v/>
      </c>
      <c r="U909" s="50"/>
      <c r="V909" s="22" t="str">
        <f t="shared" si="15"/>
        <v/>
      </c>
    </row>
    <row r="910" spans="1:22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50" t="str">
        <f t="shared" si="18"/>
        <v/>
      </c>
      <c r="U910" s="50"/>
      <c r="V910" s="22" t="str">
        <f t="shared" si="15"/>
        <v/>
      </c>
    </row>
    <row r="911" spans="1:22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50" t="str">
        <f t="shared" si="18"/>
        <v/>
      </c>
      <c r="U911" s="50"/>
      <c r="V911" s="22" t="str">
        <f t="shared" si="15"/>
        <v/>
      </c>
    </row>
    <row r="912" spans="1:22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50" t="str">
        <f t="shared" si="18"/>
        <v/>
      </c>
      <c r="U912" s="50"/>
      <c r="V912" s="22" t="str">
        <f t="shared" si="15"/>
        <v/>
      </c>
    </row>
    <row r="913" spans="1:22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50" t="str">
        <f t="shared" si="18"/>
        <v/>
      </c>
      <c r="U913" s="50"/>
      <c r="V913" s="22" t="str">
        <f t="shared" si="15"/>
        <v/>
      </c>
    </row>
    <row r="914" spans="1:22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50" t="str">
        <f t="shared" si="18"/>
        <v/>
      </c>
      <c r="U914" s="50"/>
      <c r="V914" s="22" t="str">
        <f t="shared" si="15"/>
        <v/>
      </c>
    </row>
    <row r="915" spans="1:22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50" t="str">
        <f t="shared" si="18"/>
        <v/>
      </c>
      <c r="U915" s="50"/>
      <c r="V915" s="22" t="str">
        <f t="shared" si="15"/>
        <v/>
      </c>
    </row>
    <row r="916" spans="1:22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50" t="str">
        <f t="shared" si="18"/>
        <v/>
      </c>
      <c r="U916" s="50"/>
      <c r="V916" s="22" t="str">
        <f t="shared" si="15"/>
        <v/>
      </c>
    </row>
    <row r="917" spans="1:22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50" t="str">
        <f t="shared" si="18"/>
        <v/>
      </c>
      <c r="U917" s="50"/>
      <c r="V917" s="22" t="str">
        <f t="shared" si="15"/>
        <v/>
      </c>
    </row>
    <row r="918" spans="1:22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50" t="str">
        <f t="shared" si="18"/>
        <v/>
      </c>
      <c r="U918" s="50"/>
      <c r="V918" s="22" t="str">
        <f t="shared" si="15"/>
        <v/>
      </c>
    </row>
    <row r="919" spans="1:22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50" t="str">
        <f t="shared" si="18"/>
        <v/>
      </c>
      <c r="U919" s="50"/>
      <c r="V919" s="22" t="str">
        <f t="shared" si="15"/>
        <v/>
      </c>
    </row>
    <row r="920" spans="1:22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50" t="str">
        <f t="shared" si="18"/>
        <v/>
      </c>
      <c r="U920" s="50"/>
      <c r="V920" s="22" t="str">
        <f t="shared" si="15"/>
        <v/>
      </c>
    </row>
    <row r="921" spans="1:22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50" t="str">
        <f t="shared" si="18"/>
        <v/>
      </c>
      <c r="U921" s="50"/>
      <c r="V921" s="22" t="str">
        <f t="shared" si="15"/>
        <v/>
      </c>
    </row>
    <row r="922" spans="1:22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50" t="str">
        <f t="shared" si="18"/>
        <v/>
      </c>
      <c r="U922" s="50"/>
      <c r="V922" s="22" t="str">
        <f t="shared" si="15"/>
        <v/>
      </c>
    </row>
    <row r="923" spans="1:22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50" t="str">
        <f t="shared" si="18"/>
        <v/>
      </c>
      <c r="U923" s="50"/>
      <c r="V923" s="22" t="str">
        <f t="shared" si="15"/>
        <v/>
      </c>
    </row>
    <row r="924" spans="1:22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50" t="str">
        <f t="shared" si="18"/>
        <v/>
      </c>
      <c r="U924" s="50"/>
      <c r="V924" s="22" t="str">
        <f t="shared" si="15"/>
        <v/>
      </c>
    </row>
    <row r="925" spans="1:22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50" t="str">
        <f t="shared" si="18"/>
        <v/>
      </c>
      <c r="U925" s="50"/>
      <c r="V925" s="22" t="str">
        <f t="shared" si="15"/>
        <v/>
      </c>
    </row>
    <row r="926" spans="1:22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50" t="str">
        <f t="shared" si="18"/>
        <v/>
      </c>
      <c r="U926" s="50"/>
      <c r="V926" s="22" t="str">
        <f t="shared" si="15"/>
        <v/>
      </c>
    </row>
    <row r="927" spans="1:22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50" t="str">
        <f t="shared" si="18"/>
        <v/>
      </c>
      <c r="U927" s="50"/>
      <c r="V927" s="22" t="str">
        <f t="shared" si="15"/>
        <v/>
      </c>
    </row>
    <row r="928" spans="1:22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50" t="str">
        <f t="shared" si="18"/>
        <v/>
      </c>
      <c r="U928" s="50"/>
      <c r="V928" s="22" t="str">
        <f t="shared" si="15"/>
        <v/>
      </c>
    </row>
    <row r="929" spans="1:22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50" t="str">
        <f t="shared" si="18"/>
        <v/>
      </c>
      <c r="U929" s="50"/>
      <c r="V929" s="22" t="str">
        <f t="shared" si="15"/>
        <v/>
      </c>
    </row>
    <row r="930" spans="1:22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50" t="str">
        <f t="shared" si="18"/>
        <v/>
      </c>
      <c r="U930" s="50"/>
      <c r="V930" s="22" t="str">
        <f t="shared" si="15"/>
        <v/>
      </c>
    </row>
    <row r="931" spans="1:22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50" t="str">
        <f t="shared" si="18"/>
        <v/>
      </c>
      <c r="U931" s="50"/>
      <c r="V931" s="22" t="str">
        <f t="shared" si="15"/>
        <v/>
      </c>
    </row>
    <row r="932" spans="1:22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50" t="str">
        <f t="shared" si="18"/>
        <v/>
      </c>
      <c r="U932" s="50"/>
      <c r="V932" s="22" t="str">
        <f t="shared" si="15"/>
        <v/>
      </c>
    </row>
    <row r="933" spans="1:22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50" t="str">
        <f t="shared" si="18"/>
        <v/>
      </c>
      <c r="U933" s="50"/>
      <c r="V933" s="22" t="str">
        <f t="shared" si="15"/>
        <v/>
      </c>
    </row>
    <row r="934" spans="1:22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50" t="str">
        <f t="shared" si="18"/>
        <v/>
      </c>
      <c r="U934" s="50"/>
      <c r="V934" s="22" t="str">
        <f t="shared" si="15"/>
        <v/>
      </c>
    </row>
    <row r="935" spans="1:22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50" t="str">
        <f t="shared" si="18"/>
        <v/>
      </c>
      <c r="U935" s="50"/>
      <c r="V935" s="22" t="str">
        <f t="shared" si="15"/>
        <v/>
      </c>
    </row>
    <row r="936" spans="1:22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50" t="str">
        <f t="shared" si="18"/>
        <v/>
      </c>
      <c r="U936" s="50"/>
      <c r="V936" s="22" t="str">
        <f t="shared" si="15"/>
        <v/>
      </c>
    </row>
    <row r="937" spans="1:22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50" t="str">
        <f t="shared" si="18"/>
        <v/>
      </c>
      <c r="U937" s="50"/>
      <c r="V937" s="22" t="str">
        <f t="shared" si="15"/>
        <v/>
      </c>
    </row>
    <row r="938" spans="1:22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50" t="str">
        <f t="shared" si="18"/>
        <v/>
      </c>
      <c r="U938" s="50"/>
      <c r="V938" s="22" t="str">
        <f t="shared" si="15"/>
        <v/>
      </c>
    </row>
    <row r="939" spans="1:22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50" t="str">
        <f t="shared" si="18"/>
        <v/>
      </c>
      <c r="U939" s="50"/>
      <c r="V939" s="22" t="str">
        <f t="shared" si="15"/>
        <v/>
      </c>
    </row>
    <row r="940" spans="1:22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50" t="str">
        <f t="shared" si="18"/>
        <v/>
      </c>
      <c r="U940" s="50"/>
      <c r="V940" s="22" t="str">
        <f t="shared" si="15"/>
        <v/>
      </c>
    </row>
    <row r="941" spans="1:22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50" t="str">
        <f t="shared" si="18"/>
        <v/>
      </c>
      <c r="U941" s="50"/>
      <c r="V941" s="22" t="str">
        <f t="shared" si="15"/>
        <v/>
      </c>
    </row>
    <row r="942" spans="1:22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50" t="str">
        <f t="shared" si="18"/>
        <v/>
      </c>
      <c r="U942" s="50"/>
      <c r="V942" s="22" t="str">
        <f t="shared" si="15"/>
        <v/>
      </c>
    </row>
    <row r="943" spans="1:22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50" t="str">
        <f t="shared" si="18"/>
        <v/>
      </c>
      <c r="U943" s="50"/>
      <c r="V943" s="22" t="str">
        <f t="shared" si="15"/>
        <v/>
      </c>
    </row>
    <row r="944" spans="1:22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50" t="str">
        <f t="shared" si="18"/>
        <v/>
      </c>
      <c r="U944" s="50"/>
      <c r="V944" s="22" t="str">
        <f t="shared" si="15"/>
        <v/>
      </c>
    </row>
    <row r="945" spans="1:22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50" t="str">
        <f t="shared" si="18"/>
        <v/>
      </c>
      <c r="U945" s="50"/>
      <c r="V945" s="22" t="str">
        <f t="shared" si="15"/>
        <v/>
      </c>
    </row>
    <row r="946" spans="1:22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50" t="str">
        <f t="shared" si="18"/>
        <v/>
      </c>
      <c r="U946" s="50"/>
      <c r="V946" s="22" t="str">
        <f t="shared" si="15"/>
        <v/>
      </c>
    </row>
    <row r="947" spans="1:22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50" t="str">
        <f t="shared" si="18"/>
        <v/>
      </c>
      <c r="U947" s="50"/>
      <c r="V947" s="22" t="str">
        <f t="shared" si="15"/>
        <v/>
      </c>
    </row>
    <row r="948" spans="1:22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50" t="str">
        <f t="shared" si="18"/>
        <v/>
      </c>
      <c r="U948" s="50"/>
      <c r="V948" s="22" t="str">
        <f t="shared" si="15"/>
        <v/>
      </c>
    </row>
    <row r="949" spans="1:22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50" t="str">
        <f t="shared" si="18"/>
        <v/>
      </c>
      <c r="U949" s="50"/>
      <c r="V949" s="22" t="str">
        <f t="shared" si="15"/>
        <v/>
      </c>
    </row>
    <row r="950" spans="1:22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50" t="str">
        <f t="shared" si="18"/>
        <v/>
      </c>
      <c r="U950" s="50"/>
      <c r="V950" s="22" t="str">
        <f t="shared" si="15"/>
        <v/>
      </c>
    </row>
    <row r="951" spans="1:22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50" t="str">
        <f t="shared" si="18"/>
        <v/>
      </c>
      <c r="U951" s="50"/>
      <c r="V951" s="22" t="str">
        <f t="shared" si="15"/>
        <v/>
      </c>
    </row>
    <row r="952" spans="1:22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50" t="str">
        <f t="shared" si="18"/>
        <v/>
      </c>
      <c r="U952" s="50"/>
      <c r="V952" s="22" t="str">
        <f t="shared" si="15"/>
        <v/>
      </c>
    </row>
    <row r="953" spans="1:22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50" t="str">
        <f t="shared" si="18"/>
        <v/>
      </c>
      <c r="U953" s="50"/>
      <c r="V953" s="22" t="str">
        <f t="shared" si="15"/>
        <v/>
      </c>
    </row>
    <row r="954" spans="1:22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50" t="str">
        <f t="shared" si="18"/>
        <v/>
      </c>
      <c r="U954" s="50"/>
      <c r="V954" s="22" t="str">
        <f t="shared" si="15"/>
        <v/>
      </c>
    </row>
    <row r="955" spans="1:22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50" t="str">
        <f t="shared" si="18"/>
        <v/>
      </c>
      <c r="U955" s="50"/>
      <c r="V955" s="22" t="str">
        <f t="shared" si="15"/>
        <v/>
      </c>
    </row>
    <row r="956" spans="1:22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50" t="str">
        <f t="shared" si="18"/>
        <v/>
      </c>
      <c r="U956" s="50"/>
      <c r="V956" s="22" t="str">
        <f t="shared" si="15"/>
        <v/>
      </c>
    </row>
    <row r="957" spans="1:22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50" t="str">
        <f t="shared" si="18"/>
        <v/>
      </c>
      <c r="U957" s="50"/>
      <c r="V957" s="22" t="str">
        <f t="shared" si="15"/>
        <v/>
      </c>
    </row>
    <row r="958" spans="1:22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50" t="str">
        <f t="shared" si="18"/>
        <v/>
      </c>
      <c r="U958" s="50"/>
      <c r="V958" s="22" t="str">
        <f t="shared" si="15"/>
        <v/>
      </c>
    </row>
    <row r="959" spans="1:22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50" t="str">
        <f t="shared" si="18"/>
        <v/>
      </c>
      <c r="U959" s="50"/>
      <c r="V959" s="22" t="str">
        <f t="shared" si="15"/>
        <v/>
      </c>
    </row>
    <row r="960" spans="1:22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50" t="str">
        <f t="shared" si="18"/>
        <v/>
      </c>
      <c r="U960" s="50"/>
      <c r="V960" s="22" t="str">
        <f t="shared" si="15"/>
        <v/>
      </c>
    </row>
    <row r="961" spans="1:22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50" t="str">
        <f t="shared" si="18"/>
        <v/>
      </c>
      <c r="U961" s="50"/>
      <c r="V961" s="22" t="str">
        <f t="shared" si="15"/>
        <v/>
      </c>
    </row>
    <row r="962" spans="1:22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50" t="str">
        <f t="shared" si="18"/>
        <v/>
      </c>
      <c r="U962" s="50"/>
      <c r="V962" s="22" t="str">
        <f t="shared" si="15"/>
        <v/>
      </c>
    </row>
    <row r="963" spans="1:22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50" t="str">
        <f t="shared" ref="T963:T1000" si="19">IF(A963="", "",IF(L963&gt;O963,"",NETWORKDAYS.INTL(L963,O963,1,FERIADOS)))</f>
        <v/>
      </c>
      <c r="U963" s="50"/>
      <c r="V963" s="22" t="str">
        <f t="shared" si="15"/>
        <v/>
      </c>
    </row>
    <row r="964" spans="1:22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50" t="str">
        <f t="shared" si="19"/>
        <v/>
      </c>
      <c r="U964" s="50"/>
      <c r="V964" s="22" t="str">
        <f t="shared" si="15"/>
        <v/>
      </c>
    </row>
    <row r="965" spans="1:22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50" t="str">
        <f t="shared" si="19"/>
        <v/>
      </c>
      <c r="U965" s="50"/>
      <c r="V965" s="22" t="str">
        <f t="shared" si="15"/>
        <v/>
      </c>
    </row>
    <row r="966" spans="1:22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50" t="str">
        <f t="shared" si="19"/>
        <v/>
      </c>
      <c r="U966" s="50"/>
      <c r="V966" s="22" t="str">
        <f t="shared" si="15"/>
        <v/>
      </c>
    </row>
    <row r="967" spans="1:22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50" t="str">
        <f t="shared" si="19"/>
        <v/>
      </c>
      <c r="U967" s="50"/>
      <c r="V967" s="22" t="str">
        <f t="shared" si="15"/>
        <v/>
      </c>
    </row>
    <row r="968" spans="1:22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50" t="str">
        <f t="shared" si="19"/>
        <v/>
      </c>
      <c r="U968" s="50"/>
      <c r="V968" s="22" t="str">
        <f t="shared" si="15"/>
        <v/>
      </c>
    </row>
    <row r="969" spans="1:22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50" t="str">
        <f t="shared" si="19"/>
        <v/>
      </c>
      <c r="U969" s="50"/>
      <c r="V969" s="22" t="str">
        <f t="shared" si="15"/>
        <v/>
      </c>
    </row>
    <row r="970" spans="1:22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50" t="str">
        <f t="shared" si="19"/>
        <v/>
      </c>
      <c r="U970" s="50"/>
      <c r="V970" s="22" t="str">
        <f t="shared" si="15"/>
        <v/>
      </c>
    </row>
    <row r="971" spans="1:22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50" t="str">
        <f t="shared" si="19"/>
        <v/>
      </c>
      <c r="U971" s="50"/>
      <c r="V971" s="22" t="str">
        <f t="shared" si="15"/>
        <v/>
      </c>
    </row>
    <row r="972" spans="1:22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50" t="str">
        <f t="shared" si="19"/>
        <v/>
      </c>
      <c r="U972" s="50"/>
      <c r="V972" s="22" t="str">
        <f t="shared" si="15"/>
        <v/>
      </c>
    </row>
    <row r="973" spans="1:22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50" t="str">
        <f t="shared" si="19"/>
        <v/>
      </c>
      <c r="U973" s="50"/>
      <c r="V973" s="22" t="str">
        <f t="shared" si="15"/>
        <v/>
      </c>
    </row>
    <row r="974" spans="1:22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50" t="str">
        <f t="shared" si="19"/>
        <v/>
      </c>
      <c r="U974" s="50"/>
      <c r="V974" s="22" t="str">
        <f t="shared" si="15"/>
        <v/>
      </c>
    </row>
    <row r="975" spans="1:22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50" t="str">
        <f t="shared" si="19"/>
        <v/>
      </c>
      <c r="U975" s="50"/>
      <c r="V975" s="22" t="str">
        <f t="shared" si="15"/>
        <v/>
      </c>
    </row>
    <row r="976" spans="1:22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50" t="str">
        <f t="shared" si="19"/>
        <v/>
      </c>
      <c r="U976" s="50"/>
      <c r="V976" s="22" t="str">
        <f t="shared" si="15"/>
        <v/>
      </c>
    </row>
    <row r="977" spans="1:22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50" t="str">
        <f t="shared" si="19"/>
        <v/>
      </c>
      <c r="U977" s="50"/>
      <c r="V977" s="22" t="str">
        <f t="shared" si="15"/>
        <v/>
      </c>
    </row>
    <row r="978" spans="1:22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50" t="str">
        <f t="shared" si="19"/>
        <v/>
      </c>
      <c r="U978" s="50"/>
      <c r="V978" s="22" t="str">
        <f t="shared" si="15"/>
        <v/>
      </c>
    </row>
    <row r="979" spans="1:22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50" t="str">
        <f t="shared" si="19"/>
        <v/>
      </c>
      <c r="U979" s="50"/>
      <c r="V979" s="22" t="str">
        <f t="shared" si="15"/>
        <v/>
      </c>
    </row>
    <row r="980" spans="1:22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50" t="str">
        <f t="shared" si="19"/>
        <v/>
      </c>
      <c r="U980" s="50"/>
      <c r="V980" s="22" t="str">
        <f t="shared" si="15"/>
        <v/>
      </c>
    </row>
    <row r="981" spans="1:22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50" t="str">
        <f t="shared" si="19"/>
        <v/>
      </c>
      <c r="U981" s="50"/>
      <c r="V981" s="22" t="str">
        <f t="shared" si="15"/>
        <v/>
      </c>
    </row>
    <row r="982" spans="1:22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50" t="str">
        <f t="shared" si="19"/>
        <v/>
      </c>
      <c r="U982" s="50"/>
      <c r="V982" s="22" t="str">
        <f t="shared" si="15"/>
        <v/>
      </c>
    </row>
    <row r="983" spans="1:22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50" t="str">
        <f t="shared" si="19"/>
        <v/>
      </c>
      <c r="U983" s="50"/>
      <c r="V983" s="22" t="str">
        <f t="shared" si="15"/>
        <v/>
      </c>
    </row>
    <row r="984" spans="1:22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50" t="str">
        <f t="shared" si="19"/>
        <v/>
      </c>
      <c r="U984" s="50"/>
      <c r="V984" s="22" t="str">
        <f t="shared" si="15"/>
        <v/>
      </c>
    </row>
    <row r="985" spans="1:22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50" t="str">
        <f t="shared" si="19"/>
        <v/>
      </c>
      <c r="U985" s="50"/>
      <c r="V985" s="22" t="str">
        <f t="shared" si="15"/>
        <v/>
      </c>
    </row>
    <row r="986" spans="1:22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50" t="str">
        <f t="shared" si="19"/>
        <v/>
      </c>
      <c r="U986" s="50"/>
      <c r="V986" s="22" t="str">
        <f t="shared" si="15"/>
        <v/>
      </c>
    </row>
    <row r="987" spans="1:22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50" t="str">
        <f t="shared" si="19"/>
        <v/>
      </c>
      <c r="U987" s="50"/>
      <c r="V987" s="22" t="str">
        <f t="shared" si="15"/>
        <v/>
      </c>
    </row>
    <row r="988" spans="1:22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50" t="str">
        <f t="shared" si="19"/>
        <v/>
      </c>
      <c r="U988" s="50"/>
      <c r="V988" s="22" t="str">
        <f t="shared" si="15"/>
        <v/>
      </c>
    </row>
    <row r="989" spans="1:22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50" t="str">
        <f t="shared" si="19"/>
        <v/>
      </c>
      <c r="U989" s="50"/>
      <c r="V989" s="22" t="str">
        <f t="shared" si="15"/>
        <v/>
      </c>
    </row>
    <row r="990" spans="1:22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50" t="str">
        <f t="shared" si="19"/>
        <v/>
      </c>
      <c r="U990" s="50"/>
      <c r="V990" s="22" t="str">
        <f t="shared" si="15"/>
        <v/>
      </c>
    </row>
    <row r="991" spans="1:22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50" t="str">
        <f t="shared" si="19"/>
        <v/>
      </c>
      <c r="U991" s="50"/>
      <c r="V991" s="22" t="str">
        <f t="shared" si="15"/>
        <v/>
      </c>
    </row>
    <row r="992" spans="1:22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50" t="str">
        <f t="shared" si="19"/>
        <v/>
      </c>
      <c r="U992" s="50"/>
      <c r="V992" s="22" t="str">
        <f t="shared" si="15"/>
        <v/>
      </c>
    </row>
    <row r="993" spans="1:22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50" t="str">
        <f t="shared" si="19"/>
        <v/>
      </c>
      <c r="U993" s="50"/>
      <c r="V993" s="22" t="str">
        <f t="shared" si="15"/>
        <v/>
      </c>
    </row>
    <row r="994" spans="1:22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50" t="str">
        <f t="shared" si="19"/>
        <v/>
      </c>
      <c r="U994" s="50"/>
      <c r="V994" s="22" t="str">
        <f t="shared" si="15"/>
        <v/>
      </c>
    </row>
    <row r="995" spans="1:22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50" t="str">
        <f t="shared" si="19"/>
        <v/>
      </c>
      <c r="U995" s="50"/>
      <c r="V995" s="22" t="str">
        <f t="shared" si="15"/>
        <v/>
      </c>
    </row>
    <row r="996" spans="1:22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50" t="str">
        <f t="shared" si="19"/>
        <v/>
      </c>
      <c r="U996" s="50"/>
      <c r="V996" s="22" t="str">
        <f t="shared" si="15"/>
        <v/>
      </c>
    </row>
    <row r="997" spans="1:22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50" t="str">
        <f t="shared" si="19"/>
        <v/>
      </c>
      <c r="U997" s="50"/>
      <c r="V997" s="22" t="str">
        <f t="shared" si="15"/>
        <v/>
      </c>
    </row>
    <row r="998" spans="1:22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50" t="str">
        <f t="shared" si="19"/>
        <v/>
      </c>
      <c r="U998" s="50"/>
      <c r="V998" s="22" t="str">
        <f t="shared" si="15"/>
        <v/>
      </c>
    </row>
    <row r="999" spans="1:22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50" t="str">
        <f t="shared" si="19"/>
        <v/>
      </c>
      <c r="U999" s="50"/>
      <c r="V999" s="22" t="str">
        <f t="shared" si="15"/>
        <v/>
      </c>
    </row>
    <row r="1000" spans="1:22">
      <c r="A1000" s="48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50" t="str">
        <f t="shared" si="19"/>
        <v/>
      </c>
      <c r="U1000" s="50"/>
      <c r="V1000" s="22" t="str">
        <f t="shared" si="15"/>
        <v/>
      </c>
    </row>
  </sheetData>
  <customSheetViews>
    <customSheetView guid="{7A8B6077-8358-46C7-B6EB-0CCDA99BB991}" filter="1" showAutoFilter="1">
      <pageMargins left="0" right="0" top="0" bottom="0" header="0" footer="0"/>
      <autoFilter ref="A2:V42" xr:uid="{D76A417C-3927-40ED-A6EE-6BBE7EB51020}"/>
    </customSheetView>
  </customSheetViews>
  <mergeCells count="4">
    <mergeCell ref="A1:C1"/>
    <mergeCell ref="F1:I1"/>
    <mergeCell ref="J1:N1"/>
    <mergeCell ref="O1:U1"/>
  </mergeCells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2024-01-24T16:44:11Z</dcterms:created>
  <dcterms:modified xsi:type="dcterms:W3CDTF">2024-01-31T16:25:26Z</dcterms:modified>
  <cp:category/>
  <cp:contentStatus/>
</cp:coreProperties>
</file>